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195" windowHeight="7365" firstSheet="3" activeTab="5"/>
  </bookViews>
  <sheets>
    <sheet name="Motor Savings" sheetId="6" r:id="rId1"/>
    <sheet name="Cost Data" sheetId="1" r:id="rId2"/>
    <sheet name="Measure Case NEMA Prem. Eff" sheetId="2" r:id="rId3"/>
    <sheet name="Base Case NEMA Energy Eff." sheetId="4" r:id="rId4"/>
    <sheet name="Operating Hours" sheetId="3" r:id="rId5"/>
    <sheet name="ODP and TEFC Program Breakdown" sheetId="7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U16" i="6" l="1"/>
  <c r="V16" i="6"/>
  <c r="U17" i="6"/>
  <c r="V17" i="6"/>
  <c r="U18" i="6"/>
  <c r="V18" i="6"/>
  <c r="U19" i="6"/>
  <c r="V19" i="6"/>
  <c r="U20" i="6"/>
  <c r="V20" i="6"/>
  <c r="U21" i="6"/>
  <c r="V21" i="6"/>
  <c r="U22" i="6"/>
  <c r="V22" i="6"/>
  <c r="U23" i="6"/>
  <c r="V23" i="6"/>
  <c r="U24" i="6"/>
  <c r="V24" i="6"/>
  <c r="U25" i="6"/>
  <c r="V25" i="6"/>
  <c r="U26" i="6"/>
  <c r="V26" i="6"/>
  <c r="U27" i="6"/>
  <c r="V27" i="6"/>
  <c r="V15" i="6"/>
  <c r="U15" i="6"/>
  <c r="S16" i="6"/>
  <c r="T16" i="6"/>
  <c r="S17" i="6"/>
  <c r="T17" i="6"/>
  <c r="S18" i="6"/>
  <c r="T18" i="6"/>
  <c r="S19" i="6"/>
  <c r="T19" i="6"/>
  <c r="S20" i="6"/>
  <c r="T20" i="6"/>
  <c r="S21" i="6"/>
  <c r="T21" i="6"/>
  <c r="S22" i="6"/>
  <c r="T22" i="6"/>
  <c r="S23" i="6"/>
  <c r="T23" i="6"/>
  <c r="S24" i="6"/>
  <c r="T24" i="6"/>
  <c r="S25" i="6"/>
  <c r="T25" i="6"/>
  <c r="S26" i="6"/>
  <c r="T26" i="6"/>
  <c r="S27" i="6"/>
  <c r="T27" i="6"/>
  <c r="T15" i="6"/>
  <c r="S15" i="6"/>
  <c r="O18" i="1"/>
  <c r="O17" i="1"/>
  <c r="N18" i="1"/>
  <c r="N17" i="1"/>
  <c r="W16" i="6" l="1"/>
  <c r="W17" i="6"/>
  <c r="W18" i="6"/>
  <c r="W19" i="6"/>
  <c r="W20" i="6"/>
  <c r="W21" i="6"/>
  <c r="W22" i="6"/>
  <c r="W23" i="6"/>
  <c r="W24" i="6"/>
  <c r="W25" i="6"/>
  <c r="W26" i="6"/>
  <c r="W27" i="6"/>
  <c r="W15" i="6"/>
  <c r="Q18" i="1" l="1"/>
  <c r="R18" i="1" s="1"/>
  <c r="P18" i="1"/>
  <c r="Q17" i="1"/>
  <c r="R17" i="1" s="1"/>
  <c r="P17" i="1"/>
  <c r="G23" i="6"/>
  <c r="G24" i="6"/>
  <c r="G25" i="6"/>
  <c r="G26" i="6"/>
  <c r="G27" i="6"/>
  <c r="N3" i="6"/>
  <c r="N4" i="6"/>
  <c r="N5" i="6"/>
  <c r="N6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F24" i="6"/>
  <c r="F25" i="6"/>
  <c r="F26" i="6"/>
  <c r="F27" i="6"/>
  <c r="G15" i="6"/>
  <c r="F15" i="6"/>
  <c r="E16" i="6"/>
  <c r="Y16" i="6" s="1"/>
  <c r="E17" i="6"/>
  <c r="E18" i="6"/>
  <c r="E19" i="6"/>
  <c r="E20" i="6"/>
  <c r="Y20" i="6" s="1"/>
  <c r="E21" i="6"/>
  <c r="E22" i="6"/>
  <c r="E23" i="6"/>
  <c r="E24" i="6"/>
  <c r="E25" i="6"/>
  <c r="E26" i="6"/>
  <c r="Y26" i="6" s="1"/>
  <c r="E27" i="6"/>
  <c r="E15" i="6"/>
  <c r="D16" i="6"/>
  <c r="D17" i="6"/>
  <c r="X17" i="6" s="1"/>
  <c r="D18" i="6"/>
  <c r="X18" i="6" s="1"/>
  <c r="D19" i="6"/>
  <c r="D20" i="6"/>
  <c r="D21" i="6"/>
  <c r="X21" i="6" s="1"/>
  <c r="D22" i="6"/>
  <c r="X22" i="6" s="1"/>
  <c r="D23" i="6"/>
  <c r="D24" i="6"/>
  <c r="D25" i="6"/>
  <c r="D26" i="6"/>
  <c r="D27" i="6"/>
  <c r="D15" i="6"/>
  <c r="I12" i="6"/>
  <c r="O6" i="6"/>
  <c r="O4" i="6"/>
  <c r="O3" i="6"/>
  <c r="Y18" i="6" l="1"/>
  <c r="I21" i="6"/>
  <c r="L21" i="6" s="1"/>
  <c r="Y24" i="6"/>
  <c r="X27" i="6"/>
  <c r="X19" i="6"/>
  <c r="I20" i="6"/>
  <c r="L20" i="6" s="1"/>
  <c r="I25" i="6"/>
  <c r="L25" i="6" s="1"/>
  <c r="X23" i="6"/>
  <c r="X26" i="6"/>
  <c r="Y27" i="6"/>
  <c r="Y23" i="6"/>
  <c r="Y19" i="6"/>
  <c r="H25" i="6"/>
  <c r="K25" i="6" s="1"/>
  <c r="H20" i="6"/>
  <c r="K20" i="6" s="1"/>
  <c r="H18" i="6"/>
  <c r="K18" i="6" s="1"/>
  <c r="H16" i="6"/>
  <c r="K16" i="6" s="1"/>
  <c r="I23" i="6"/>
  <c r="L23" i="6" s="1"/>
  <c r="I22" i="6"/>
  <c r="L22" i="6" s="1"/>
  <c r="I15" i="6"/>
  <c r="L15" i="6" s="1"/>
  <c r="H24" i="6"/>
  <c r="K24" i="6" s="1"/>
  <c r="I19" i="6"/>
  <c r="L19" i="6" s="1"/>
  <c r="I17" i="6"/>
  <c r="L17" i="6" s="1"/>
  <c r="I16" i="6"/>
  <c r="L16" i="6" s="1"/>
  <c r="H15" i="6"/>
  <c r="K15" i="6" s="1"/>
  <c r="X24" i="6"/>
  <c r="X20" i="6"/>
  <c r="X16" i="6"/>
  <c r="Y25" i="6"/>
  <c r="Y21" i="6"/>
  <c r="Y17" i="6"/>
  <c r="H27" i="6"/>
  <c r="K27" i="6" s="1"/>
  <c r="H23" i="6"/>
  <c r="K23" i="6" s="1"/>
  <c r="H21" i="6"/>
  <c r="K21" i="6" s="1"/>
  <c r="H19" i="6"/>
  <c r="K19" i="6" s="1"/>
  <c r="H17" i="6"/>
  <c r="K17" i="6" s="1"/>
  <c r="X25" i="6"/>
  <c r="Y15" i="6"/>
  <c r="I18" i="6"/>
  <c r="L18" i="6" s="1"/>
  <c r="I26" i="6"/>
  <c r="L26" i="6" s="1"/>
  <c r="H26" i="6"/>
  <c r="K26" i="6" s="1"/>
  <c r="Y22" i="6"/>
  <c r="I24" i="6"/>
  <c r="L24" i="6" s="1"/>
  <c r="I27" i="6"/>
  <c r="L27" i="6" s="1"/>
  <c r="X15" i="6"/>
  <c r="H22" i="6"/>
  <c r="K22" i="6" s="1"/>
  <c r="O21" i="6"/>
  <c r="H12" i="6"/>
  <c r="J18" i="4"/>
  <c r="J17" i="4"/>
  <c r="J16" i="4"/>
  <c r="F18" i="4"/>
  <c r="F17" i="4"/>
  <c r="F16" i="4"/>
  <c r="J13" i="4"/>
  <c r="J14" i="4"/>
  <c r="J15" i="4"/>
  <c r="F13" i="4"/>
  <c r="F14" i="4"/>
  <c r="F15" i="4"/>
  <c r="J7" i="4"/>
  <c r="J8" i="4"/>
  <c r="J9" i="4"/>
  <c r="J10" i="4"/>
  <c r="J11" i="4"/>
  <c r="J12" i="4"/>
  <c r="J6" i="4"/>
  <c r="F7" i="4"/>
  <c r="F8" i="4"/>
  <c r="F9" i="4"/>
  <c r="F10" i="4"/>
  <c r="F11" i="4"/>
  <c r="F12" i="4"/>
  <c r="F6" i="4"/>
  <c r="C31" i="3"/>
  <c r="C30" i="3"/>
  <c r="C29" i="3"/>
  <c r="C28" i="3"/>
  <c r="C27" i="3"/>
  <c r="C26" i="3"/>
  <c r="C25" i="3"/>
  <c r="C24" i="3"/>
  <c r="E19" i="3"/>
  <c r="E18" i="3"/>
  <c r="E17" i="3"/>
  <c r="J15" i="2"/>
  <c r="J16" i="2"/>
  <c r="J17" i="2"/>
  <c r="J18" i="2"/>
  <c r="J14" i="2"/>
  <c r="F15" i="2"/>
  <c r="F16" i="2"/>
  <c r="F17" i="2"/>
  <c r="F18" i="2"/>
  <c r="F14" i="2"/>
  <c r="J6" i="2"/>
  <c r="J7" i="2"/>
  <c r="J8" i="2"/>
  <c r="J9" i="2"/>
  <c r="J10" i="2"/>
  <c r="J11" i="2"/>
  <c r="J12" i="2"/>
  <c r="J13" i="2"/>
  <c r="F6" i="2"/>
  <c r="F7" i="2"/>
  <c r="F8" i="2"/>
  <c r="F9" i="2"/>
  <c r="F10" i="2"/>
  <c r="F11" i="2"/>
  <c r="F12" i="2"/>
  <c r="F13" i="2"/>
  <c r="O23" i="6" l="1"/>
  <c r="N25" i="6"/>
  <c r="N19" i="6"/>
  <c r="N21" i="6"/>
  <c r="O19" i="6"/>
  <c r="N18" i="6"/>
  <c r="N15" i="6"/>
  <c r="O16" i="6"/>
  <c r="O18" i="6"/>
  <c r="O17" i="6"/>
  <c r="N16" i="6"/>
  <c r="N23" i="6"/>
  <c r="O22" i="6"/>
  <c r="O26" i="6"/>
  <c r="N17" i="6"/>
  <c r="O27" i="6"/>
  <c r="O15" i="6"/>
  <c r="O25" i="6"/>
  <c r="N24" i="6"/>
  <c r="O20" i="6"/>
  <c r="N26" i="6"/>
  <c r="N27" i="6"/>
  <c r="N20" i="6"/>
  <c r="J22" i="6"/>
  <c r="N22" i="6"/>
  <c r="O24" i="6"/>
  <c r="J21" i="6"/>
  <c r="M21" i="6" s="1"/>
  <c r="Q21" i="6" s="1"/>
  <c r="J25" i="6"/>
  <c r="M25" i="6" s="1"/>
  <c r="Q25" i="6" s="1"/>
  <c r="J15" i="6"/>
  <c r="M15" i="6" s="1"/>
  <c r="Q15" i="6" s="1"/>
  <c r="J27" i="6"/>
  <c r="M27" i="6" s="1"/>
  <c r="Q27" i="6" s="1"/>
  <c r="J17" i="6"/>
  <c r="M17" i="6" s="1"/>
  <c r="Q17" i="6" s="1"/>
  <c r="J24" i="6"/>
  <c r="M24" i="6" s="1"/>
  <c r="Q24" i="6" s="1"/>
  <c r="J18" i="6"/>
  <c r="M18" i="6" s="1"/>
  <c r="Q18" i="6" s="1"/>
  <c r="J20" i="6"/>
  <c r="M20" i="6" s="1"/>
  <c r="Q20" i="6" s="1"/>
  <c r="J23" i="6"/>
  <c r="M23" i="6" s="1"/>
  <c r="Q23" i="6" s="1"/>
  <c r="J16" i="6"/>
  <c r="M16" i="6" s="1"/>
  <c r="Q16" i="6" s="1"/>
  <c r="J19" i="6"/>
  <c r="M19" i="6" s="1"/>
  <c r="Q19" i="6" s="1"/>
  <c r="J26" i="6"/>
  <c r="M26" i="6" s="1"/>
  <c r="Q26" i="6" s="1"/>
  <c r="P12" i="1"/>
  <c r="N11" i="1"/>
  <c r="P11" i="1" s="1"/>
  <c r="O11" i="1"/>
  <c r="Q11" i="1" s="1"/>
  <c r="N10" i="1"/>
  <c r="P10" i="1" s="1"/>
  <c r="O10" i="1"/>
  <c r="Q10" i="1" s="1"/>
  <c r="N9" i="1"/>
  <c r="P9" i="1" s="1"/>
  <c r="O9" i="1"/>
  <c r="Q9" i="1" s="1"/>
  <c r="N8" i="1"/>
  <c r="P8" i="1" s="1"/>
  <c r="O8" i="1"/>
  <c r="Q8" i="1" s="1"/>
  <c r="N7" i="1"/>
  <c r="P7" i="1" s="1"/>
  <c r="O7" i="1"/>
  <c r="Q7" i="1" s="1"/>
  <c r="N6" i="1"/>
  <c r="P6" i="1" s="1"/>
  <c r="O6" i="1"/>
  <c r="Q6" i="1" s="1"/>
  <c r="O12" i="1"/>
  <c r="Q12" i="1" s="1"/>
  <c r="N12" i="1"/>
  <c r="N13" i="1"/>
  <c r="P13" i="1" s="1"/>
  <c r="O13" i="1"/>
  <c r="Q13" i="1" s="1"/>
  <c r="O14" i="1"/>
  <c r="Q14" i="1" s="1"/>
  <c r="N14" i="1"/>
  <c r="P14" i="1" s="1"/>
  <c r="N15" i="1"/>
  <c r="P15" i="1" s="1"/>
  <c r="O15" i="1"/>
  <c r="Q15" i="1" s="1"/>
  <c r="O16" i="1"/>
  <c r="Q16" i="1" s="1"/>
  <c r="N16" i="1"/>
  <c r="P16" i="1" s="1"/>
  <c r="P22" i="6" l="1"/>
  <c r="R22" i="6" s="1"/>
  <c r="M22" i="6"/>
  <c r="Q22" i="6" s="1"/>
  <c r="R15" i="1"/>
  <c r="R13" i="1"/>
  <c r="R6" i="1"/>
  <c r="R10" i="1"/>
  <c r="R12" i="1"/>
  <c r="R16" i="1"/>
  <c r="R14" i="1"/>
  <c r="R9" i="1"/>
  <c r="P23" i="6"/>
  <c r="R23" i="6" s="1"/>
  <c r="P24" i="6"/>
  <c r="R24" i="6" s="1"/>
  <c r="P26" i="6"/>
  <c r="R26" i="6" s="1"/>
  <c r="P19" i="6"/>
  <c r="R19" i="6" s="1"/>
  <c r="P15" i="6"/>
  <c r="R15" i="6" s="1"/>
  <c r="P25" i="6"/>
  <c r="R25" i="6" s="1"/>
  <c r="P17" i="6"/>
  <c r="R17" i="6" s="1"/>
  <c r="P27" i="6"/>
  <c r="R27" i="6" s="1"/>
  <c r="P21" i="6"/>
  <c r="R21" i="6" s="1"/>
  <c r="P16" i="6"/>
  <c r="R16" i="6" s="1"/>
  <c r="P20" i="6"/>
  <c r="R20" i="6" s="1"/>
  <c r="P18" i="6"/>
  <c r="R18" i="6" s="1"/>
  <c r="R7" i="1"/>
  <c r="R11" i="1"/>
  <c r="R8" i="1"/>
</calcChain>
</file>

<file path=xl/sharedStrings.xml><?xml version="1.0" encoding="utf-8"?>
<sst xmlns="http://schemas.openxmlformats.org/spreadsheetml/2006/main" count="205" uniqueCount="133">
  <si>
    <t>HP</t>
  </si>
  <si>
    <t>3600 RPM</t>
  </si>
  <si>
    <t>1800 RPM</t>
  </si>
  <si>
    <t>1200 RPM</t>
  </si>
  <si>
    <t>ODP</t>
  </si>
  <si>
    <t>TEFC</t>
  </si>
  <si>
    <t>Premium Efficient</t>
  </si>
  <si>
    <t>Stator Rewind</t>
  </si>
  <si>
    <t>Enclosure</t>
  </si>
  <si>
    <t>RPM</t>
  </si>
  <si>
    <t>Total Motors</t>
  </si>
  <si>
    <t>Percentage of Total</t>
  </si>
  <si>
    <t>ODP Total</t>
  </si>
  <si>
    <t>TEFC Total</t>
  </si>
  <si>
    <t>Total</t>
  </si>
  <si>
    <t>Weighted Premium Efficient</t>
  </si>
  <si>
    <t>Weighted Stator Rewind</t>
  </si>
  <si>
    <t>Weighted Premium Efficient / HP</t>
  </si>
  <si>
    <t>Weighted Stator Rewind /HP</t>
  </si>
  <si>
    <t>IMC /HP</t>
  </si>
  <si>
    <t>NEMA Premium Efficiency - Minimum Nominal Full Load Efficiency (1)</t>
  </si>
  <si>
    <t>Open Motors</t>
  </si>
  <si>
    <t>Closed Motors</t>
  </si>
  <si>
    <t>6 pole</t>
  </si>
  <si>
    <t>4 pole</t>
  </si>
  <si>
    <t>2 pole</t>
  </si>
  <si>
    <t>Weighted Efficiency</t>
  </si>
  <si>
    <t>hp</t>
  </si>
  <si>
    <t>Full-Load Motor Runtimes for Industrial Motors (2)</t>
  </si>
  <si>
    <t>Full-Load Motor Runtimes for Commercial Motors (1)</t>
  </si>
  <si>
    <t>Full-Load Motor Runtimes for Agricultural Motors (1)</t>
  </si>
  <si>
    <t>Motor hp</t>
  </si>
  <si>
    <t>All SIC Numbers</t>
  </si>
  <si>
    <t>Runtime</t>
  </si>
  <si>
    <t>Part Load Estimate</t>
  </si>
  <si>
    <t>Equivalent Full Load Hours</t>
  </si>
  <si>
    <t>1 to 5</t>
  </si>
  <si>
    <t>≤15 hp</t>
  </si>
  <si>
    <t>All Sizes</t>
  </si>
  <si>
    <t>6 to 15</t>
  </si>
  <si>
    <t>&gt;15 hp</t>
  </si>
  <si>
    <t>16 to 20</t>
  </si>
  <si>
    <t>21 to 50</t>
  </si>
  <si>
    <t>51 to 100</t>
  </si>
  <si>
    <t>101 to 200</t>
  </si>
  <si>
    <t>Relative Energy Use By Sector (1)</t>
  </si>
  <si>
    <t>Sector</t>
  </si>
  <si>
    <t>%Energy Use By Sector</t>
  </si>
  <si>
    <t>% Energy Used By Motors Per Sector</t>
  </si>
  <si>
    <t>% of Motor Energy Usage By Sector</t>
  </si>
  <si>
    <t>Commercial</t>
  </si>
  <si>
    <t>Industrial</t>
  </si>
  <si>
    <t>Agriculture</t>
  </si>
  <si>
    <t>Hours Weighted by Sector</t>
  </si>
  <si>
    <t>Weighted Hours</t>
  </si>
  <si>
    <t>21 to 25</t>
  </si>
  <si>
    <t>26 to 50</t>
  </si>
  <si>
    <t>(1) Attachment B of the CPUC Energy Division Phase 2 Workpaper Review and Measure Disposition (December 9, 2011)</t>
  </si>
  <si>
    <t>(2) “United States Industrial Electric Motor Systems Market Opportunities Assessment,” Prepared by Xenergy Inc. for U.S. DOE, Burlington, MA, Dec.2002, Table 1-15, page 42.</t>
  </si>
  <si>
    <t>201 to 500</t>
  </si>
  <si>
    <t>NEMA Energy Efficient - Minimum Nominal Full Load Efficiency (1)</t>
  </si>
  <si>
    <t>(1) NEMA Standards Publication MG 1- 2011, Table 12-12 Efficiency Levels for NEMA Premium Motors 600 volts or less.</t>
  </si>
  <si>
    <t>(1) NEMA Standards Publication MG 1- 2011, Table 12-11 Efficiency Levels for NEMA Energy Efficient Motors 600 volts or less.</t>
  </si>
  <si>
    <t>Operating Hrs.(5)</t>
  </si>
  <si>
    <t>26 through 50 =</t>
  </si>
  <si>
    <t>51 through 100 =</t>
  </si>
  <si>
    <t>101 through 200 =</t>
  </si>
  <si>
    <t xml:space="preserve">Lifetime = </t>
  </si>
  <si>
    <t>15 years</t>
  </si>
  <si>
    <t xml:space="preserve">Load Factor (3) = </t>
  </si>
  <si>
    <t xml:space="preserve">Coincident Diversity Factor (6) = </t>
  </si>
  <si>
    <t>ODP (4)</t>
  </si>
  <si>
    <t>TEFC (4)</t>
  </si>
  <si>
    <t>Rewind Basecase Savings</t>
  </si>
  <si>
    <t>Measure Description</t>
  </si>
  <si>
    <t>HORSEPOWER</t>
  </si>
  <si>
    <r>
      <t xml:space="preserve">GROSS NON-COINCIDENT PEAK DEMAND REDUCTION 
PER Motor (ODP) </t>
    </r>
    <r>
      <rPr>
        <sz val="8"/>
        <color indexed="10"/>
        <rFont val="Times New Roman"/>
        <family val="1"/>
      </rPr>
      <t xml:space="preserve">(kW) </t>
    </r>
    <r>
      <rPr>
        <sz val="8"/>
        <rFont val="Times New Roman"/>
        <family val="1"/>
      </rPr>
      <t>(3)</t>
    </r>
  </si>
  <si>
    <r>
      <t xml:space="preserve">GROSS NON-COINCIDENT PEAK DEMAND REDUCTION 
PER Motor (TEFC) </t>
    </r>
    <r>
      <rPr>
        <sz val="8"/>
        <color indexed="10"/>
        <rFont val="Times New Roman"/>
        <family val="1"/>
      </rPr>
      <t>(kW)</t>
    </r>
    <r>
      <rPr>
        <sz val="8"/>
        <rFont val="Times New Roman"/>
        <family val="1"/>
      </rPr>
      <t xml:space="preserve"> (3)</t>
    </r>
  </si>
  <si>
    <r>
      <t>Weighted Gross Non-Coincident Peak Demand Reduction per Motor</t>
    </r>
    <r>
      <rPr>
        <sz val="8"/>
        <color indexed="10"/>
        <rFont val="Times New Roman"/>
        <family val="1"/>
      </rPr>
      <t xml:space="preserve"> (kW) </t>
    </r>
    <r>
      <rPr>
        <sz val="8"/>
        <rFont val="Times New Roman"/>
        <family val="1"/>
      </rPr>
      <t>(4)</t>
    </r>
  </si>
  <si>
    <r>
      <t xml:space="preserve">GROSS ANNUAL ENERGY SAVINGS PER MOTOR (ODP) </t>
    </r>
    <r>
      <rPr>
        <sz val="8"/>
        <color indexed="10"/>
        <rFont val="Times New Roman"/>
        <family val="1"/>
      </rPr>
      <t>(KwH)</t>
    </r>
    <r>
      <rPr>
        <sz val="8"/>
        <rFont val="Times New Roman"/>
        <family val="1"/>
      </rPr>
      <t xml:space="preserve"> (5)</t>
    </r>
  </si>
  <si>
    <r>
      <t xml:space="preserve">GROSS ANNUAL ENERGY SAVINGS PER MOTOR (TEFC) </t>
    </r>
    <r>
      <rPr>
        <sz val="8"/>
        <color indexed="10"/>
        <rFont val="Times New Roman"/>
        <family val="1"/>
      </rPr>
      <t>(KwH)</t>
    </r>
    <r>
      <rPr>
        <sz val="8"/>
        <rFont val="Times New Roman"/>
        <family val="1"/>
      </rPr>
      <t xml:space="preserve"> (5)</t>
    </r>
  </si>
  <si>
    <r>
      <t xml:space="preserve">COINCIDENT PEAK DEMAND REDUCTION 
PER Motor (ODP) </t>
    </r>
    <r>
      <rPr>
        <sz val="8"/>
        <color indexed="10"/>
        <rFont val="Times New Roman"/>
        <family val="1"/>
      </rPr>
      <t xml:space="preserve">(kW) </t>
    </r>
    <r>
      <rPr>
        <sz val="8"/>
        <rFont val="Times New Roman"/>
        <family val="1"/>
      </rPr>
      <t>(6)</t>
    </r>
  </si>
  <si>
    <r>
      <t xml:space="preserve">COINCIDENT PEAK DEMAND REDUCTION 
PER Motor (TEFC) </t>
    </r>
    <r>
      <rPr>
        <sz val="8"/>
        <color indexed="10"/>
        <rFont val="Times New Roman"/>
        <family val="1"/>
      </rPr>
      <t>(kW)</t>
    </r>
    <r>
      <rPr>
        <sz val="8"/>
        <rFont val="Times New Roman"/>
        <family val="1"/>
      </rPr>
      <t xml:space="preserve"> (6)</t>
    </r>
  </si>
  <si>
    <t>IMC (Incremental Measure Cost) Rewind Basecase (7)</t>
  </si>
  <si>
    <t xml:space="preserve">     The assumed load factor is 65 percent based on the CPUC Energy Division Phase 2 Workpaper Review and Measure Disposition (December 9, 2011)</t>
  </si>
  <si>
    <t>4) Motor type weighting factors from 'ODP and TEFC Program Breakdown' tab</t>
  </si>
  <si>
    <t xml:space="preserve">     the CPUC Energy Division Phase 2 Workpaper Review and Measure Disposition (December 9, 2011)</t>
  </si>
  <si>
    <t xml:space="preserve">     Workpaper Review and Measure Disposition (December 9, 2011)</t>
  </si>
  <si>
    <t>NEMA Premium ODP MINIMUM EFFICIENCY REQUIREMENTS AS DECIMAL (1)</t>
  </si>
  <si>
    <t>NEMA Premium TEFC MINIMUM EFFICIENCY REQUIREMENTS AS DECIMAL (1)</t>
  </si>
  <si>
    <t>Rewind Basecase Efficiency (NEMA Energy Efficient) As Decimal (ODP) (2)</t>
  </si>
  <si>
    <t>Rewind Basecase Efficiency (NEMA Energy Efficient) As Decimal (TEFC) (2)</t>
  </si>
  <si>
    <t>Motor 50 HP - NEMA Premium Efficiency</t>
  </si>
  <si>
    <t>Motor 60 HP - NEMA Premium Efficiency</t>
  </si>
  <si>
    <t>Motor 75 HP - NEMA Premium Efficiency</t>
  </si>
  <si>
    <t>Motor 100 HP - NEMA Premium Efficiency</t>
  </si>
  <si>
    <t>Motor 125 HP - NEMA Premium Efficiency</t>
  </si>
  <si>
    <t>Motor 150 HP - NEMA Premium Efficiency</t>
  </si>
  <si>
    <t>Motor 200 HP - NEMA Premium Efficiency</t>
  </si>
  <si>
    <t>Motor 250 HP - NEMA Premium Efficiency</t>
  </si>
  <si>
    <t>Motor 300 HP - NEMA Premium Efficiency</t>
  </si>
  <si>
    <t>Motor 350 HP - NEMA Premium Efficiency</t>
  </si>
  <si>
    <t>Motor 400 HP - NEMA Premium Efficiency</t>
  </si>
  <si>
    <t>Motor 450 HP - NEMA Premium Efficiency</t>
  </si>
  <si>
    <t>Motor 500 HP - NEMA Premium Efficiency</t>
  </si>
  <si>
    <t>201 through 500 =</t>
  </si>
  <si>
    <r>
      <t>GROSS ANNUAL ENERGY SAVINGS 
PER MOTOR</t>
    </r>
    <r>
      <rPr>
        <b/>
        <sz val="8"/>
        <color indexed="10"/>
        <rFont val="Times New Roman"/>
        <family val="1"/>
      </rPr>
      <t xml:space="preserve"> (kWh)</t>
    </r>
    <r>
      <rPr>
        <b/>
        <sz val="8"/>
        <rFont val="Times New Roman"/>
        <family val="1"/>
      </rPr>
      <t xml:space="preserve"> (5)</t>
    </r>
  </si>
  <si>
    <r>
      <t>GROSS COINCIDENT PEAK DEMAND REDUCTION 
PER MOTOR</t>
    </r>
    <r>
      <rPr>
        <b/>
        <sz val="8"/>
        <color indexed="10"/>
        <rFont val="Times New Roman"/>
        <family val="1"/>
      </rPr>
      <t xml:space="preserve"> (kW)</t>
    </r>
    <r>
      <rPr>
        <b/>
        <sz val="8"/>
        <rFont val="Times New Roman"/>
        <family val="1"/>
      </rPr>
      <t xml:space="preserve"> (6)</t>
    </r>
  </si>
  <si>
    <r>
      <t xml:space="preserve">GROSS ANNUAL ENERGY SAVINGS 
PER HP </t>
    </r>
    <r>
      <rPr>
        <b/>
        <sz val="8"/>
        <color indexed="10"/>
        <rFont val="Times New Roman"/>
        <family val="1"/>
      </rPr>
      <t>(kWh)</t>
    </r>
  </si>
  <si>
    <r>
      <t>GROSS COINCIDENT PEAK DEMAND REDUCTION 
PER HP</t>
    </r>
    <r>
      <rPr>
        <b/>
        <sz val="8"/>
        <color indexed="10"/>
        <rFont val="Times New Roman"/>
        <family val="1"/>
      </rPr>
      <t xml:space="preserve"> (kW)</t>
    </r>
  </si>
  <si>
    <t>Rewind Basecase Cost per HP</t>
  </si>
  <si>
    <t>NEMA Premium Efficiency Motor Cost per HP</t>
  </si>
  <si>
    <t>* No data available from Vaughen's Motor Price Guide for motors &gt; 400 HP. Cost per HP is assumed to be similar to a 400 HP motor</t>
  </si>
  <si>
    <t>5) Operating hours from 'Operating Hours' tab, based on Attachment B of the CPUC Energy Division Phase 2 Workpaper Review and Measure Disposition (December 9, 2011)</t>
  </si>
  <si>
    <t xml:space="preserve">6) Coincident Peak Demand is non-coincident peak demand times coincident diversity factor of 0.64. Per </t>
  </si>
  <si>
    <t>7) The IMC for Rewind measures is equal to the cost difference between a new NEMA Premium Efficiency motor and the cost to rewind an existing motor</t>
  </si>
  <si>
    <t>1) Values from 'Measure Case NEMA Prem. Eff' tab</t>
  </si>
  <si>
    <t>2) Values from 'Base Case NEMA Energy Eff.' tab</t>
  </si>
  <si>
    <t>3) Non Coincident Demand is 0.746 * hp * 0.65 load factor * (1/ NEME Energy Eff - 1/ NEMA Prem Eff)</t>
  </si>
  <si>
    <t>% Rewind (8)</t>
  </si>
  <si>
    <t xml:space="preserve">In Service Rate (ISR) (9) = </t>
  </si>
  <si>
    <t>8) Values from Section 3.1 of the CPUC Energy Division Phase 2 Workpaper Review and Measure Disposition (December 9, 2011). The % rewind of motors above 200 HP is assumed to be similar to that of a 200 HP motor.</t>
  </si>
  <si>
    <t xml:space="preserve">9) An in service rate of 0.8 was applied to the calculated savings per the CPUC Energy Division Phase 2 </t>
  </si>
  <si>
    <r>
      <t xml:space="preserve">* Costs from </t>
    </r>
    <r>
      <rPr>
        <i/>
        <sz val="11"/>
        <color theme="1"/>
        <rFont val="Calibri"/>
        <family val="2"/>
        <scheme val="minor"/>
      </rPr>
      <t>Vaughen's Motor and Pump Repair Price Guide</t>
    </r>
    <r>
      <rPr>
        <sz val="11"/>
        <color theme="1"/>
        <rFont val="Calibri"/>
        <family val="2"/>
        <scheme val="minor"/>
      </rPr>
      <t>, 2016 Edition</t>
    </r>
  </si>
  <si>
    <t>Average of Motors Types (1)</t>
  </si>
  <si>
    <t>Percentage of Motors (1)</t>
  </si>
  <si>
    <t>ODP Motors</t>
  </si>
  <si>
    <t>TEFC Motors</t>
  </si>
  <si>
    <t>Average of ODP Motors per hp</t>
  </si>
  <si>
    <t>Average of TEFC Motors per hp</t>
  </si>
  <si>
    <t>(1) Based on 2010 PG&amp;E Upstream Motors Paid Applications</t>
  </si>
  <si>
    <r>
      <t xml:space="preserve">GROSS ANNUAL ENERGY SAVINGS 
PER HP with ISR </t>
    </r>
    <r>
      <rPr>
        <b/>
        <sz val="8"/>
        <color indexed="10"/>
        <rFont val="Times New Roman"/>
        <family val="1"/>
      </rPr>
      <t xml:space="preserve">(kWh), </t>
    </r>
  </si>
  <si>
    <r>
      <t>GROSS COINCIDENT PEAK DEMAND REDUCTION 
PER HP with ISR</t>
    </r>
    <r>
      <rPr>
        <b/>
        <sz val="8"/>
        <color indexed="10"/>
        <rFont val="Times New Roman"/>
        <family val="1"/>
      </rPr>
      <t xml:space="preserve"> (kW)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</si>
</sst>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&quot;$&quot;#,##0"/>
    <numFmt numFmtId="165" formatCode="&quot;$&quot;#,##0.00"/>
    <numFmt numFmtId="166" formatCode="0.0"/>
    <numFmt numFmtId="167" formatCode="_(* #,##0_);_(* \(#,##0\);_(* &quot;-&quot;??_);_(@_)"/>
    <numFmt numFmtId="168" formatCode="#,##0.0000"/>
    <numFmt numFmtId="169" formatCode="0.000"/>
    <numFmt numFmtId="170" formatCode="0.0000"/>
    <numFmt numFmtId="173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9"/>
      <name val="Arial"/>
      <family val="2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b/>
      <sz val="8"/>
      <name val="Times New Roman"/>
      <family val="1"/>
    </font>
    <font>
      <b/>
      <sz val="8"/>
      <color indexed="10"/>
      <name val="Times New Roman"/>
      <family val="1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</cellStyleXfs>
  <cellXfs count="161">
    <xf numFmtId="0" fontId="0" fillId="0" borderId="0" xfId="0"/>
    <xf numFmtId="0" fontId="16" fillId="0" borderId="10" xfId="0" applyFont="1" applyFill="1" applyBorder="1" applyAlignment="1">
      <alignment wrapText="1"/>
    </xf>
    <xf numFmtId="0" fontId="16" fillId="0" borderId="10" xfId="0" applyFont="1" applyBorder="1"/>
    <xf numFmtId="164" fontId="0" fillId="0" borderId="10" xfId="0" applyNumberFormat="1" applyBorder="1"/>
    <xf numFmtId="165" fontId="0" fillId="0" borderId="0" xfId="0" applyNumberFormat="1"/>
    <xf numFmtId="0" fontId="16" fillId="0" borderId="10" xfId="0" applyFont="1" applyBorder="1" applyAlignment="1">
      <alignment wrapText="1"/>
    </xf>
    <xf numFmtId="0" fontId="1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6" fillId="0" borderId="17" xfId="0" applyFon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164" fontId="0" fillId="0" borderId="0" xfId="0" applyNumberFormat="1"/>
    <xf numFmtId="0" fontId="0" fillId="0" borderId="17" xfId="0" applyFill="1" applyBorder="1" applyAlignment="1">
      <alignment horizontal="center" vertical="center"/>
    </xf>
    <xf numFmtId="166" fontId="0" fillId="0" borderId="17" xfId="0" applyNumberForma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6" fillId="0" borderId="17" xfId="0" applyFon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Font="1"/>
    <xf numFmtId="0" fontId="0" fillId="0" borderId="0" xfId="0"/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17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9" fontId="0" fillId="0" borderId="17" xfId="42" applyFont="1" applyBorder="1" applyAlignment="1">
      <alignment horizontal="center"/>
    </xf>
    <xf numFmtId="9" fontId="0" fillId="0" borderId="0" xfId="0" applyNumberFormat="1"/>
    <xf numFmtId="0" fontId="0" fillId="0" borderId="0" xfId="0"/>
    <xf numFmtId="0" fontId="0" fillId="0" borderId="0" xfId="0" applyBorder="1"/>
    <xf numFmtId="166" fontId="0" fillId="0" borderId="17" xfId="0" applyNumberForma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9" fontId="0" fillId="0" borderId="17" xfId="42" applyFont="1" applyBorder="1" applyAlignment="1">
      <alignment horizontal="center"/>
    </xf>
    <xf numFmtId="0" fontId="0" fillId="0" borderId="17" xfId="0" applyBorder="1"/>
    <xf numFmtId="0" fontId="16" fillId="0" borderId="17" xfId="0" applyFon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8" fillId="0" borderId="0" xfId="44" applyAlignment="1">
      <alignment horizontal="center"/>
    </xf>
    <xf numFmtId="0" fontId="18" fillId="0" borderId="0" xfId="44"/>
    <xf numFmtId="0" fontId="19" fillId="0" borderId="0" xfId="44" applyFont="1" applyAlignment="1">
      <alignment horizontal="left"/>
    </xf>
    <xf numFmtId="0" fontId="18" fillId="0" borderId="0" xfId="44" applyBorder="1"/>
    <xf numFmtId="0" fontId="18" fillId="0" borderId="23" xfId="44" applyBorder="1"/>
    <xf numFmtId="0" fontId="18" fillId="0" borderId="24" xfId="44" applyBorder="1"/>
    <xf numFmtId="0" fontId="20" fillId="0" borderId="25" xfId="44" applyFont="1" applyBorder="1" applyAlignment="1">
      <alignment horizontal="center" wrapText="1"/>
    </xf>
    <xf numFmtId="0" fontId="20" fillId="0" borderId="26" xfId="44" applyFont="1" applyBorder="1" applyAlignment="1">
      <alignment horizontal="center" wrapText="1"/>
    </xf>
    <xf numFmtId="0" fontId="21" fillId="0" borderId="0" xfId="44" applyFont="1" applyFill="1" applyBorder="1"/>
    <xf numFmtId="0" fontId="21" fillId="0" borderId="23" xfId="44" applyFont="1" applyFill="1" applyBorder="1"/>
    <xf numFmtId="0" fontId="21" fillId="0" borderId="24" xfId="44" applyFont="1" applyFill="1" applyBorder="1"/>
    <xf numFmtId="0" fontId="22" fillId="0" borderId="24" xfId="44" applyFont="1" applyBorder="1" applyAlignment="1">
      <alignment horizontal="right"/>
    </xf>
    <xf numFmtId="167" fontId="23" fillId="0" borderId="14" xfId="43" applyNumberFormat="1" applyFont="1" applyBorder="1" applyAlignment="1"/>
    <xf numFmtId="14" fontId="18" fillId="0" borderId="0" xfId="44" applyNumberFormat="1" applyAlignment="1">
      <alignment horizontal="left"/>
    </xf>
    <xf numFmtId="0" fontId="22" fillId="0" borderId="0" xfId="44" applyFont="1" applyBorder="1" applyAlignment="1">
      <alignment horizontal="right"/>
    </xf>
    <xf numFmtId="9" fontId="23" fillId="0" borderId="28" xfId="42" applyFont="1" applyBorder="1" applyAlignment="1">
      <alignment horizontal="center"/>
    </xf>
    <xf numFmtId="0" fontId="21" fillId="0" borderId="27" xfId="44" applyFont="1" applyFill="1" applyBorder="1"/>
    <xf numFmtId="0" fontId="18" fillId="0" borderId="27" xfId="44" applyBorder="1"/>
    <xf numFmtId="0" fontId="21" fillId="0" borderId="29" xfId="44" applyFont="1" applyFill="1" applyBorder="1"/>
    <xf numFmtId="0" fontId="21" fillId="0" borderId="30" xfId="44" applyFont="1" applyFill="1" applyBorder="1"/>
    <xf numFmtId="0" fontId="22" fillId="0" borderId="30" xfId="44" applyFont="1" applyBorder="1" applyAlignment="1">
      <alignment horizontal="right"/>
    </xf>
    <xf numFmtId="9" fontId="23" fillId="0" borderId="31" xfId="42" applyFont="1" applyBorder="1" applyAlignment="1">
      <alignment horizontal="center"/>
    </xf>
    <xf numFmtId="0" fontId="21" fillId="0" borderId="32" xfId="44" applyFont="1" applyBorder="1" applyAlignment="1">
      <alignment horizontal="center"/>
    </xf>
    <xf numFmtId="0" fontId="18" fillId="0" borderId="33" xfId="44" applyBorder="1"/>
    <xf numFmtId="0" fontId="22" fillId="0" borderId="0" xfId="44" applyFont="1" applyFill="1" applyBorder="1" applyAlignment="1">
      <alignment horizontal="right"/>
    </xf>
    <xf numFmtId="0" fontId="24" fillId="0" borderId="17" xfId="44" applyFont="1" applyFill="1" applyBorder="1" applyAlignment="1">
      <alignment horizontal="center"/>
    </xf>
    <xf numFmtId="0" fontId="18" fillId="0" borderId="28" xfId="44" applyBorder="1"/>
    <xf numFmtId="0" fontId="20" fillId="0" borderId="0" xfId="44" applyFont="1"/>
    <xf numFmtId="0" fontId="22" fillId="0" borderId="30" xfId="44" applyFont="1" applyFill="1" applyBorder="1" applyAlignment="1">
      <alignment horizontal="right"/>
    </xf>
    <xf numFmtId="0" fontId="18" fillId="0" borderId="31" xfId="44" applyBorder="1"/>
    <xf numFmtId="0" fontId="18" fillId="0" borderId="0" xfId="44" applyFont="1" applyAlignment="1">
      <alignment horizontal="center"/>
    </xf>
    <xf numFmtId="9" fontId="18" fillId="0" borderId="0" xfId="44" applyNumberFormat="1" applyAlignment="1">
      <alignment horizontal="center"/>
    </xf>
    <xf numFmtId="0" fontId="0" fillId="0" borderId="0" xfId="0" applyBorder="1" applyAlignment="1">
      <alignment horizontal="center"/>
    </xf>
    <xf numFmtId="0" fontId="18" fillId="0" borderId="0" xfId="44" applyFont="1"/>
    <xf numFmtId="9" fontId="25" fillId="0" borderId="0" xfId="42" applyFont="1" applyFill="1" applyBorder="1"/>
    <xf numFmtId="168" fontId="26" fillId="33" borderId="38" xfId="44" applyNumberFormat="1" applyFont="1" applyFill="1" applyBorder="1" applyAlignment="1" applyProtection="1">
      <alignment horizontal="center" vertical="center" wrapText="1"/>
    </xf>
    <xf numFmtId="168" fontId="26" fillId="33" borderId="39" xfId="44" applyNumberFormat="1" applyFont="1" applyFill="1" applyBorder="1" applyAlignment="1" applyProtection="1">
      <alignment horizontal="center" vertical="center" wrapText="1"/>
    </xf>
    <xf numFmtId="0" fontId="28" fillId="0" borderId="17" xfId="44" applyFont="1" applyBorder="1" applyAlignment="1">
      <alignment horizontal="left"/>
    </xf>
    <xf numFmtId="0" fontId="28" fillId="0" borderId="17" xfId="44" applyFont="1" applyBorder="1" applyAlignment="1">
      <alignment horizontal="center"/>
    </xf>
    <xf numFmtId="169" fontId="29" fillId="0" borderId="17" xfId="0" applyNumberFormat="1" applyFont="1" applyFill="1" applyBorder="1" applyAlignment="1">
      <alignment horizontal="center"/>
    </xf>
    <xf numFmtId="169" fontId="29" fillId="0" borderId="17" xfId="44" applyNumberFormat="1" applyFont="1" applyBorder="1" applyAlignment="1">
      <alignment horizontal="center"/>
    </xf>
    <xf numFmtId="169" fontId="29" fillId="34" borderId="17" xfId="44" applyNumberFormat="1" applyFont="1" applyFill="1" applyBorder="1" applyAlignment="1">
      <alignment horizontal="center"/>
    </xf>
    <xf numFmtId="169" fontId="28" fillId="34" borderId="17" xfId="44" applyNumberFormat="1" applyFont="1" applyFill="1" applyBorder="1" applyAlignment="1">
      <alignment horizontal="center"/>
    </xf>
    <xf numFmtId="167" fontId="28" fillId="34" borderId="17" xfId="43" applyNumberFormat="1" applyFont="1" applyFill="1" applyBorder="1" applyAlignment="1">
      <alignment horizontal="center"/>
    </xf>
    <xf numFmtId="165" fontId="28" fillId="35" borderId="17" xfId="44" applyNumberFormat="1" applyFont="1" applyFill="1" applyBorder="1" applyAlignment="1">
      <alignment horizontal="center"/>
    </xf>
    <xf numFmtId="0" fontId="28" fillId="0" borderId="0" xfId="44" applyFont="1"/>
    <xf numFmtId="0" fontId="28" fillId="0" borderId="17" xfId="44" applyFont="1" applyFill="1" applyBorder="1" applyAlignment="1">
      <alignment horizontal="left"/>
    </xf>
    <xf numFmtId="0" fontId="28" fillId="0" borderId="17" xfId="44" applyFont="1" applyFill="1" applyBorder="1" applyAlignment="1">
      <alignment horizontal="center"/>
    </xf>
    <xf numFmtId="0" fontId="28" fillId="0" borderId="0" xfId="44" applyFont="1" applyFill="1"/>
    <xf numFmtId="169" fontId="28" fillId="0" borderId="0" xfId="44" applyNumberFormat="1" applyFont="1" applyBorder="1" applyAlignment="1">
      <alignment horizontal="center"/>
    </xf>
    <xf numFmtId="167" fontId="28" fillId="0" borderId="0" xfId="43" applyNumberFormat="1" applyFont="1" applyBorder="1" applyAlignment="1">
      <alignment horizontal="center"/>
    </xf>
    <xf numFmtId="0" fontId="32" fillId="0" borderId="0" xfId="44" applyFont="1"/>
    <xf numFmtId="0" fontId="31" fillId="0" borderId="0" xfId="44" applyFont="1"/>
    <xf numFmtId="0" fontId="18" fillId="0" borderId="0" xfId="44" applyFont="1" applyAlignment="1">
      <alignment horizontal="left"/>
    </xf>
    <xf numFmtId="0" fontId="28" fillId="0" borderId="0" xfId="44" applyFont="1" applyAlignment="1">
      <alignment horizontal="left"/>
    </xf>
    <xf numFmtId="0" fontId="33" fillId="0" borderId="0" xfId="44" applyFont="1"/>
    <xf numFmtId="0" fontId="18" fillId="0" borderId="0" xfId="44" applyNumberFormat="1" applyFont="1" applyAlignment="1">
      <alignment horizontal="left"/>
    </xf>
    <xf numFmtId="0" fontId="18" fillId="0" borderId="0" xfId="45" applyFont="1"/>
    <xf numFmtId="0" fontId="28" fillId="0" borderId="0" xfId="45" applyFont="1"/>
    <xf numFmtId="9" fontId="23" fillId="0" borderId="40" xfId="42" applyFont="1" applyBorder="1" applyAlignment="1">
      <alignment horizontal="center"/>
    </xf>
    <xf numFmtId="0" fontId="24" fillId="0" borderId="34" xfId="44" applyFont="1" applyFill="1" applyBorder="1" applyAlignment="1">
      <alignment horizontal="center"/>
    </xf>
    <xf numFmtId="169" fontId="28" fillId="0" borderId="0" xfId="44" applyNumberFormat="1" applyFont="1"/>
    <xf numFmtId="164" fontId="0" fillId="0" borderId="0" xfId="0" applyNumberFormat="1" applyBorder="1"/>
    <xf numFmtId="165" fontId="0" fillId="0" borderId="0" xfId="0" applyNumberFormat="1" applyBorder="1"/>
    <xf numFmtId="168" fontId="34" fillId="33" borderId="39" xfId="44" applyNumberFormat="1" applyFont="1" applyFill="1" applyBorder="1" applyAlignment="1" applyProtection="1">
      <alignment horizontal="center" vertical="center" wrapText="1"/>
    </xf>
    <xf numFmtId="167" fontId="30" fillId="34" borderId="17" xfId="43" applyNumberFormat="1" applyFont="1" applyFill="1" applyBorder="1" applyAlignment="1">
      <alignment horizontal="center"/>
    </xf>
    <xf numFmtId="169" fontId="30" fillId="34" borderId="17" xfId="44" applyNumberFormat="1" applyFont="1" applyFill="1" applyBorder="1" applyAlignment="1">
      <alignment horizontal="center"/>
    </xf>
    <xf numFmtId="170" fontId="30" fillId="34" borderId="17" xfId="44" applyNumberFormat="1" applyFont="1" applyFill="1" applyBorder="1" applyAlignment="1">
      <alignment horizontal="center"/>
    </xf>
    <xf numFmtId="0" fontId="16" fillId="0" borderId="17" xfId="0" applyFont="1" applyBorder="1"/>
    <xf numFmtId="164" fontId="0" fillId="0" borderId="17" xfId="0" applyNumberFormat="1" applyBorder="1"/>
    <xf numFmtId="0" fontId="20" fillId="0" borderId="35" xfId="44" applyFont="1" applyBorder="1" applyAlignment="1">
      <alignment horizontal="center"/>
    </xf>
    <xf numFmtId="0" fontId="20" fillId="0" borderId="36" xfId="44" applyFont="1" applyBorder="1" applyAlignment="1">
      <alignment horizontal="center"/>
    </xf>
    <xf numFmtId="0" fontId="20" fillId="0" borderId="37" xfId="44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15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8" fillId="0" borderId="0" xfId="44" applyAlignment="1">
      <alignment horizontal="center"/>
    </xf>
    <xf numFmtId="169" fontId="28" fillId="0" borderId="0" xfId="44" applyNumberFormat="1" applyFont="1" applyBorder="1" applyAlignment="1">
      <alignment horizontal="center"/>
    </xf>
    <xf numFmtId="0" fontId="28" fillId="0" borderId="0" xfId="44" applyFont="1" applyAlignment="1">
      <alignment horizontal="left"/>
    </xf>
    <xf numFmtId="0" fontId="0" fillId="0" borderId="17" xfId="0" applyBorder="1" applyAlignment="1">
      <alignment horizontal="center"/>
    </xf>
    <xf numFmtId="9" fontId="0" fillId="0" borderId="17" xfId="42" applyFont="1" applyBorder="1" applyAlignment="1">
      <alignment horizontal="center"/>
    </xf>
    <xf numFmtId="0" fontId="16" fillId="0" borderId="17" xfId="0" applyFont="1" applyBorder="1" applyAlignment="1">
      <alignment horizontal="center" wrapText="1"/>
    </xf>
    <xf numFmtId="0" fontId="0" fillId="0" borderId="17" xfId="0" applyBorder="1"/>
    <xf numFmtId="0" fontId="16" fillId="0" borderId="17" xfId="0" applyFont="1" applyBorder="1" applyAlignment="1">
      <alignment horizontal="center"/>
    </xf>
    <xf numFmtId="9" fontId="16" fillId="0" borderId="17" xfId="42" applyFon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173" fontId="0" fillId="0" borderId="0" xfId="0" applyNumberFormat="1"/>
    <xf numFmtId="165" fontId="28" fillId="35" borderId="17" xfId="44" applyNumberFormat="1" applyFont="1" applyFill="1" applyBorder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2004-5 Motors w new ICV13" xfId="44"/>
    <cellStyle name="Normal_ODP 1800 Eff" xfId="45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24</xdr:row>
      <xdr:rowOff>123825</xdr:rowOff>
    </xdr:from>
    <xdr:to>
      <xdr:col>23</xdr:col>
      <xdr:colOff>104775</xdr:colOff>
      <xdr:row>26</xdr:row>
      <xdr:rowOff>47625</xdr:rowOff>
    </xdr:to>
    <xdr:sp macro="" textlink="">
      <xdr:nvSpPr>
        <xdr:cNvPr id="2" name="Text Box 182"/>
        <xdr:cNvSpPr txBox="1">
          <a:spLocks noChangeArrowheads="1"/>
        </xdr:cNvSpPr>
      </xdr:nvSpPr>
      <xdr:spPr bwMode="auto">
        <a:xfrm>
          <a:off x="36699825" y="626745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24</xdr:col>
      <xdr:colOff>0</xdr:colOff>
      <xdr:row>24</xdr:row>
      <xdr:rowOff>123825</xdr:rowOff>
    </xdr:from>
    <xdr:ext cx="104775" cy="209550"/>
    <xdr:sp macro="" textlink="">
      <xdr:nvSpPr>
        <xdr:cNvPr id="3" name="Text Box 182"/>
        <xdr:cNvSpPr txBox="1">
          <a:spLocks noChangeArrowheads="1"/>
        </xdr:cNvSpPr>
      </xdr:nvSpPr>
      <xdr:spPr bwMode="auto">
        <a:xfrm>
          <a:off x="22364700" y="541972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6%20Motors%20Unit%20Savings%20-%20NEMA%20Premi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r Savings"/>
      <sheetName val="Rewind Weighted Basecase Eff."/>
      <sheetName val="ROB Basecase NEMA Prem. Eff."/>
      <sheetName val="ODP and TEFC Program Breakdown"/>
      <sheetName val="Standard Efficiency"/>
      <sheetName val="Title 20 Efficiency"/>
      <sheetName val="Tier 2 Efficiency"/>
      <sheetName val="Operating Hours"/>
      <sheetName val="% Rewind"/>
      <sheetName val="Motor Rewind Cost"/>
      <sheetName val="NEMA Premium Basecase Cost"/>
      <sheetName val="Tier 2 Measure Cost"/>
    </sheetNames>
    <sheetDataSet>
      <sheetData sheetId="0"/>
      <sheetData sheetId="1"/>
      <sheetData sheetId="2"/>
      <sheetData sheetId="3">
        <row r="11">
          <cell r="L11">
            <v>0.77592126344701307</v>
          </cell>
        </row>
      </sheetData>
      <sheetData sheetId="4"/>
      <sheetData sheetId="5"/>
      <sheetData sheetId="6"/>
      <sheetData sheetId="7"/>
      <sheetData sheetId="8">
        <row r="10">
          <cell r="D10">
            <v>0.22</v>
          </cell>
        </row>
        <row r="11">
          <cell r="D11">
            <v>0.8</v>
          </cell>
        </row>
        <row r="12">
          <cell r="D12">
            <v>0.82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68"/>
  <sheetViews>
    <sheetView topLeftCell="A4" workbookViewId="0">
      <selection activeCell="E41" sqref="E41"/>
    </sheetView>
  </sheetViews>
  <sheetFormatPr defaultColWidth="10.7109375" defaultRowHeight="12.75" x14ac:dyDescent="0.2"/>
  <cols>
    <col min="1" max="1" width="1.85546875" style="56" customWidth="1"/>
    <col min="2" max="2" width="33" style="55" customWidth="1"/>
    <col min="3" max="3" width="8.85546875" style="55" customWidth="1"/>
    <col min="4" max="4" width="13.7109375" style="55" customWidth="1"/>
    <col min="5" max="5" width="13.42578125" style="55" customWidth="1"/>
    <col min="6" max="6" width="12.42578125" style="55" customWidth="1"/>
    <col min="7" max="7" width="11.7109375" style="55" customWidth="1"/>
    <col min="8" max="8" width="12.7109375" style="55" customWidth="1"/>
    <col min="9" max="11" width="12.42578125" style="55" customWidth="1"/>
    <col min="12" max="12" width="13.42578125" style="55" customWidth="1"/>
    <col min="13" max="15" width="11" style="55" customWidth="1"/>
    <col min="16" max="18" width="12" style="55" customWidth="1"/>
    <col min="19" max="20" width="12" style="148" customWidth="1"/>
    <col min="21" max="22" width="12" style="55" customWidth="1"/>
    <col min="23" max="23" width="12.42578125" style="55" customWidth="1"/>
    <col min="24" max="27" width="10.7109375" style="56"/>
    <col min="28" max="28" width="13.42578125" style="56" customWidth="1"/>
    <col min="29" max="29" width="12.42578125" style="56" bestFit="1" customWidth="1"/>
    <col min="30" max="30" width="11.7109375" style="56" customWidth="1"/>
    <col min="31" max="31" width="14.140625" style="56" bestFit="1" customWidth="1"/>
    <col min="32" max="32" width="11.42578125" style="56" bestFit="1" customWidth="1"/>
    <col min="33" max="39" width="10.7109375" style="56"/>
    <col min="40" max="45" width="10.7109375" style="56" customWidth="1"/>
    <col min="46" max="242" width="10.7109375" style="56"/>
    <col min="243" max="243" width="16.85546875" style="56" customWidth="1"/>
    <col min="244" max="244" width="8.85546875" style="56" customWidth="1"/>
    <col min="245" max="245" width="13.7109375" style="56" customWidth="1"/>
    <col min="246" max="246" width="13.42578125" style="56" customWidth="1"/>
    <col min="247" max="247" width="12.42578125" style="56" customWidth="1"/>
    <col min="248" max="248" width="11.7109375" style="56" customWidth="1"/>
    <col min="249" max="249" width="12.7109375" style="56" customWidth="1"/>
    <col min="250" max="252" width="12.42578125" style="56" customWidth="1"/>
    <col min="253" max="253" width="13.42578125" style="56" customWidth="1"/>
    <col min="254" max="256" width="11" style="56" customWidth="1"/>
    <col min="257" max="257" width="12" style="56" customWidth="1"/>
    <col min="258" max="258" width="12.42578125" style="56" customWidth="1"/>
    <col min="259" max="259" width="11.85546875" style="56" customWidth="1"/>
    <col min="260" max="260" width="11.7109375" style="56" customWidth="1"/>
    <col min="261" max="261" width="12.28515625" style="56" customWidth="1"/>
    <col min="262" max="262" width="12.42578125" style="56" customWidth="1"/>
    <col min="263" max="265" width="11.7109375" style="56" customWidth="1"/>
    <col min="266" max="268" width="10.85546875" style="56" customWidth="1"/>
    <col min="269" max="269" width="10.7109375" style="56" customWidth="1"/>
    <col min="270" max="271" width="11.7109375" style="56" customWidth="1"/>
    <col min="272" max="272" width="10.140625" style="56" customWidth="1"/>
    <col min="273" max="273" width="11.140625" style="56" customWidth="1"/>
    <col min="274" max="274" width="11" style="56" customWidth="1"/>
    <col min="275" max="279" width="11.7109375" style="56" customWidth="1"/>
    <col min="280" max="283" width="10.7109375" style="56"/>
    <col min="284" max="284" width="13.42578125" style="56" customWidth="1"/>
    <col min="285" max="285" width="12.42578125" style="56" bestFit="1" customWidth="1"/>
    <col min="286" max="286" width="11.7109375" style="56" customWidth="1"/>
    <col min="287" max="287" width="14.140625" style="56" bestFit="1" customWidth="1"/>
    <col min="288" max="288" width="11.42578125" style="56" bestFit="1" customWidth="1"/>
    <col min="289" max="295" width="10.7109375" style="56"/>
    <col min="296" max="301" width="10.7109375" style="56" customWidth="1"/>
    <col min="302" max="498" width="10.7109375" style="56"/>
    <col min="499" max="499" width="16.85546875" style="56" customWidth="1"/>
    <col min="500" max="500" width="8.85546875" style="56" customWidth="1"/>
    <col min="501" max="501" width="13.7109375" style="56" customWidth="1"/>
    <col min="502" max="502" width="13.42578125" style="56" customWidth="1"/>
    <col min="503" max="503" width="12.42578125" style="56" customWidth="1"/>
    <col min="504" max="504" width="11.7109375" style="56" customWidth="1"/>
    <col min="505" max="505" width="12.7109375" style="56" customWidth="1"/>
    <col min="506" max="508" width="12.42578125" style="56" customWidth="1"/>
    <col min="509" max="509" width="13.42578125" style="56" customWidth="1"/>
    <col min="510" max="512" width="11" style="56" customWidth="1"/>
    <col min="513" max="513" width="12" style="56" customWidth="1"/>
    <col min="514" max="514" width="12.42578125" style="56" customWidth="1"/>
    <col min="515" max="515" width="11.85546875" style="56" customWidth="1"/>
    <col min="516" max="516" width="11.7109375" style="56" customWidth="1"/>
    <col min="517" max="517" width="12.28515625" style="56" customWidth="1"/>
    <col min="518" max="518" width="12.42578125" style="56" customWidth="1"/>
    <col min="519" max="521" width="11.7109375" style="56" customWidth="1"/>
    <col min="522" max="524" width="10.85546875" style="56" customWidth="1"/>
    <col min="525" max="525" width="10.7109375" style="56" customWidth="1"/>
    <col min="526" max="527" width="11.7109375" style="56" customWidth="1"/>
    <col min="528" max="528" width="10.140625" style="56" customWidth="1"/>
    <col min="529" max="529" width="11.140625" style="56" customWidth="1"/>
    <col min="530" max="530" width="11" style="56" customWidth="1"/>
    <col min="531" max="535" width="11.7109375" style="56" customWidth="1"/>
    <col min="536" max="539" width="10.7109375" style="56"/>
    <col min="540" max="540" width="13.42578125" style="56" customWidth="1"/>
    <col min="541" max="541" width="12.42578125" style="56" bestFit="1" customWidth="1"/>
    <col min="542" max="542" width="11.7109375" style="56" customWidth="1"/>
    <col min="543" max="543" width="14.140625" style="56" bestFit="1" customWidth="1"/>
    <col min="544" max="544" width="11.42578125" style="56" bestFit="1" customWidth="1"/>
    <col min="545" max="551" width="10.7109375" style="56"/>
    <col min="552" max="557" width="10.7109375" style="56" customWidth="1"/>
    <col min="558" max="754" width="10.7109375" style="56"/>
    <col min="755" max="755" width="16.85546875" style="56" customWidth="1"/>
    <col min="756" max="756" width="8.85546875" style="56" customWidth="1"/>
    <col min="757" max="757" width="13.7109375" style="56" customWidth="1"/>
    <col min="758" max="758" width="13.42578125" style="56" customWidth="1"/>
    <col min="759" max="759" width="12.42578125" style="56" customWidth="1"/>
    <col min="760" max="760" width="11.7109375" style="56" customWidth="1"/>
    <col min="761" max="761" width="12.7109375" style="56" customWidth="1"/>
    <col min="762" max="764" width="12.42578125" style="56" customWidth="1"/>
    <col min="765" max="765" width="13.42578125" style="56" customWidth="1"/>
    <col min="766" max="768" width="11" style="56" customWidth="1"/>
    <col min="769" max="769" width="12" style="56" customWidth="1"/>
    <col min="770" max="770" width="12.42578125" style="56" customWidth="1"/>
    <col min="771" max="771" width="11.85546875" style="56" customWidth="1"/>
    <col min="772" max="772" width="11.7109375" style="56" customWidth="1"/>
    <col min="773" max="773" width="12.28515625" style="56" customWidth="1"/>
    <col min="774" max="774" width="12.42578125" style="56" customWidth="1"/>
    <col min="775" max="777" width="11.7109375" style="56" customWidth="1"/>
    <col min="778" max="780" width="10.85546875" style="56" customWidth="1"/>
    <col min="781" max="781" width="10.7109375" style="56" customWidth="1"/>
    <col min="782" max="783" width="11.7109375" style="56" customWidth="1"/>
    <col min="784" max="784" width="10.140625" style="56" customWidth="1"/>
    <col min="785" max="785" width="11.140625" style="56" customWidth="1"/>
    <col min="786" max="786" width="11" style="56" customWidth="1"/>
    <col min="787" max="791" width="11.7109375" style="56" customWidth="1"/>
    <col min="792" max="795" width="10.7109375" style="56"/>
    <col min="796" max="796" width="13.42578125" style="56" customWidth="1"/>
    <col min="797" max="797" width="12.42578125" style="56" bestFit="1" customWidth="1"/>
    <col min="798" max="798" width="11.7109375" style="56" customWidth="1"/>
    <col min="799" max="799" width="14.140625" style="56" bestFit="1" customWidth="1"/>
    <col min="800" max="800" width="11.42578125" style="56" bestFit="1" customWidth="1"/>
    <col min="801" max="807" width="10.7109375" style="56"/>
    <col min="808" max="813" width="10.7109375" style="56" customWidth="1"/>
    <col min="814" max="1010" width="10.7109375" style="56"/>
    <col min="1011" max="1011" width="16.85546875" style="56" customWidth="1"/>
    <col min="1012" max="1012" width="8.85546875" style="56" customWidth="1"/>
    <col min="1013" max="1013" width="13.7109375" style="56" customWidth="1"/>
    <col min="1014" max="1014" width="13.42578125" style="56" customWidth="1"/>
    <col min="1015" max="1015" width="12.42578125" style="56" customWidth="1"/>
    <col min="1016" max="1016" width="11.7109375" style="56" customWidth="1"/>
    <col min="1017" max="1017" width="12.7109375" style="56" customWidth="1"/>
    <col min="1018" max="1020" width="12.42578125" style="56" customWidth="1"/>
    <col min="1021" max="1021" width="13.42578125" style="56" customWidth="1"/>
    <col min="1022" max="1024" width="11" style="56" customWidth="1"/>
    <col min="1025" max="1025" width="12" style="56" customWidth="1"/>
    <col min="1026" max="1026" width="12.42578125" style="56" customWidth="1"/>
    <col min="1027" max="1027" width="11.85546875" style="56" customWidth="1"/>
    <col min="1028" max="1028" width="11.7109375" style="56" customWidth="1"/>
    <col min="1029" max="1029" width="12.28515625" style="56" customWidth="1"/>
    <col min="1030" max="1030" width="12.42578125" style="56" customWidth="1"/>
    <col min="1031" max="1033" width="11.7109375" style="56" customWidth="1"/>
    <col min="1034" max="1036" width="10.85546875" style="56" customWidth="1"/>
    <col min="1037" max="1037" width="10.7109375" style="56" customWidth="1"/>
    <col min="1038" max="1039" width="11.7109375" style="56" customWidth="1"/>
    <col min="1040" max="1040" width="10.140625" style="56" customWidth="1"/>
    <col min="1041" max="1041" width="11.140625" style="56" customWidth="1"/>
    <col min="1042" max="1042" width="11" style="56" customWidth="1"/>
    <col min="1043" max="1047" width="11.7109375" style="56" customWidth="1"/>
    <col min="1048" max="1051" width="10.7109375" style="56"/>
    <col min="1052" max="1052" width="13.42578125" style="56" customWidth="1"/>
    <col min="1053" max="1053" width="12.42578125" style="56" bestFit="1" customWidth="1"/>
    <col min="1054" max="1054" width="11.7109375" style="56" customWidth="1"/>
    <col min="1055" max="1055" width="14.140625" style="56" bestFit="1" customWidth="1"/>
    <col min="1056" max="1056" width="11.42578125" style="56" bestFit="1" customWidth="1"/>
    <col min="1057" max="1063" width="10.7109375" style="56"/>
    <col min="1064" max="1069" width="10.7109375" style="56" customWidth="1"/>
    <col min="1070" max="1266" width="10.7109375" style="56"/>
    <col min="1267" max="1267" width="16.85546875" style="56" customWidth="1"/>
    <col min="1268" max="1268" width="8.85546875" style="56" customWidth="1"/>
    <col min="1269" max="1269" width="13.7109375" style="56" customWidth="1"/>
    <col min="1270" max="1270" width="13.42578125" style="56" customWidth="1"/>
    <col min="1271" max="1271" width="12.42578125" style="56" customWidth="1"/>
    <col min="1272" max="1272" width="11.7109375" style="56" customWidth="1"/>
    <col min="1273" max="1273" width="12.7109375" style="56" customWidth="1"/>
    <col min="1274" max="1276" width="12.42578125" style="56" customWidth="1"/>
    <col min="1277" max="1277" width="13.42578125" style="56" customWidth="1"/>
    <col min="1278" max="1280" width="11" style="56" customWidth="1"/>
    <col min="1281" max="1281" width="12" style="56" customWidth="1"/>
    <col min="1282" max="1282" width="12.42578125" style="56" customWidth="1"/>
    <col min="1283" max="1283" width="11.85546875" style="56" customWidth="1"/>
    <col min="1284" max="1284" width="11.7109375" style="56" customWidth="1"/>
    <col min="1285" max="1285" width="12.28515625" style="56" customWidth="1"/>
    <col min="1286" max="1286" width="12.42578125" style="56" customWidth="1"/>
    <col min="1287" max="1289" width="11.7109375" style="56" customWidth="1"/>
    <col min="1290" max="1292" width="10.85546875" style="56" customWidth="1"/>
    <col min="1293" max="1293" width="10.7109375" style="56" customWidth="1"/>
    <col min="1294" max="1295" width="11.7109375" style="56" customWidth="1"/>
    <col min="1296" max="1296" width="10.140625" style="56" customWidth="1"/>
    <col min="1297" max="1297" width="11.140625" style="56" customWidth="1"/>
    <col min="1298" max="1298" width="11" style="56" customWidth="1"/>
    <col min="1299" max="1303" width="11.7109375" style="56" customWidth="1"/>
    <col min="1304" max="1307" width="10.7109375" style="56"/>
    <col min="1308" max="1308" width="13.42578125" style="56" customWidth="1"/>
    <col min="1309" max="1309" width="12.42578125" style="56" bestFit="1" customWidth="1"/>
    <col min="1310" max="1310" width="11.7109375" style="56" customWidth="1"/>
    <col min="1311" max="1311" width="14.140625" style="56" bestFit="1" customWidth="1"/>
    <col min="1312" max="1312" width="11.42578125" style="56" bestFit="1" customWidth="1"/>
    <col min="1313" max="1319" width="10.7109375" style="56"/>
    <col min="1320" max="1325" width="10.7109375" style="56" customWidth="1"/>
    <col min="1326" max="1522" width="10.7109375" style="56"/>
    <col min="1523" max="1523" width="16.85546875" style="56" customWidth="1"/>
    <col min="1524" max="1524" width="8.85546875" style="56" customWidth="1"/>
    <col min="1525" max="1525" width="13.7109375" style="56" customWidth="1"/>
    <col min="1526" max="1526" width="13.42578125" style="56" customWidth="1"/>
    <col min="1527" max="1527" width="12.42578125" style="56" customWidth="1"/>
    <col min="1528" max="1528" width="11.7109375" style="56" customWidth="1"/>
    <col min="1529" max="1529" width="12.7109375" style="56" customWidth="1"/>
    <col min="1530" max="1532" width="12.42578125" style="56" customWidth="1"/>
    <col min="1533" max="1533" width="13.42578125" style="56" customWidth="1"/>
    <col min="1534" max="1536" width="11" style="56" customWidth="1"/>
    <col min="1537" max="1537" width="12" style="56" customWidth="1"/>
    <col min="1538" max="1538" width="12.42578125" style="56" customWidth="1"/>
    <col min="1539" max="1539" width="11.85546875" style="56" customWidth="1"/>
    <col min="1540" max="1540" width="11.7109375" style="56" customWidth="1"/>
    <col min="1541" max="1541" width="12.28515625" style="56" customWidth="1"/>
    <col min="1542" max="1542" width="12.42578125" style="56" customWidth="1"/>
    <col min="1543" max="1545" width="11.7109375" style="56" customWidth="1"/>
    <col min="1546" max="1548" width="10.85546875" style="56" customWidth="1"/>
    <col min="1549" max="1549" width="10.7109375" style="56" customWidth="1"/>
    <col min="1550" max="1551" width="11.7109375" style="56" customWidth="1"/>
    <col min="1552" max="1552" width="10.140625" style="56" customWidth="1"/>
    <col min="1553" max="1553" width="11.140625" style="56" customWidth="1"/>
    <col min="1554" max="1554" width="11" style="56" customWidth="1"/>
    <col min="1555" max="1559" width="11.7109375" style="56" customWidth="1"/>
    <col min="1560" max="1563" width="10.7109375" style="56"/>
    <col min="1564" max="1564" width="13.42578125" style="56" customWidth="1"/>
    <col min="1565" max="1565" width="12.42578125" style="56" bestFit="1" customWidth="1"/>
    <col min="1566" max="1566" width="11.7109375" style="56" customWidth="1"/>
    <col min="1567" max="1567" width="14.140625" style="56" bestFit="1" customWidth="1"/>
    <col min="1568" max="1568" width="11.42578125" style="56" bestFit="1" customWidth="1"/>
    <col min="1569" max="1575" width="10.7109375" style="56"/>
    <col min="1576" max="1581" width="10.7109375" style="56" customWidth="1"/>
    <col min="1582" max="1778" width="10.7109375" style="56"/>
    <col min="1779" max="1779" width="16.85546875" style="56" customWidth="1"/>
    <col min="1780" max="1780" width="8.85546875" style="56" customWidth="1"/>
    <col min="1781" max="1781" width="13.7109375" style="56" customWidth="1"/>
    <col min="1782" max="1782" width="13.42578125" style="56" customWidth="1"/>
    <col min="1783" max="1783" width="12.42578125" style="56" customWidth="1"/>
    <col min="1784" max="1784" width="11.7109375" style="56" customWidth="1"/>
    <col min="1785" max="1785" width="12.7109375" style="56" customWidth="1"/>
    <col min="1786" max="1788" width="12.42578125" style="56" customWidth="1"/>
    <col min="1789" max="1789" width="13.42578125" style="56" customWidth="1"/>
    <col min="1790" max="1792" width="11" style="56" customWidth="1"/>
    <col min="1793" max="1793" width="12" style="56" customWidth="1"/>
    <col min="1794" max="1794" width="12.42578125" style="56" customWidth="1"/>
    <col min="1795" max="1795" width="11.85546875" style="56" customWidth="1"/>
    <col min="1796" max="1796" width="11.7109375" style="56" customWidth="1"/>
    <col min="1797" max="1797" width="12.28515625" style="56" customWidth="1"/>
    <col min="1798" max="1798" width="12.42578125" style="56" customWidth="1"/>
    <col min="1799" max="1801" width="11.7109375" style="56" customWidth="1"/>
    <col min="1802" max="1804" width="10.85546875" style="56" customWidth="1"/>
    <col min="1805" max="1805" width="10.7109375" style="56" customWidth="1"/>
    <col min="1806" max="1807" width="11.7109375" style="56" customWidth="1"/>
    <col min="1808" max="1808" width="10.140625" style="56" customWidth="1"/>
    <col min="1809" max="1809" width="11.140625" style="56" customWidth="1"/>
    <col min="1810" max="1810" width="11" style="56" customWidth="1"/>
    <col min="1811" max="1815" width="11.7109375" style="56" customWidth="1"/>
    <col min="1816" max="1819" width="10.7109375" style="56"/>
    <col min="1820" max="1820" width="13.42578125" style="56" customWidth="1"/>
    <col min="1821" max="1821" width="12.42578125" style="56" bestFit="1" customWidth="1"/>
    <col min="1822" max="1822" width="11.7109375" style="56" customWidth="1"/>
    <col min="1823" max="1823" width="14.140625" style="56" bestFit="1" customWidth="1"/>
    <col min="1824" max="1824" width="11.42578125" style="56" bestFit="1" customWidth="1"/>
    <col min="1825" max="1831" width="10.7109375" style="56"/>
    <col min="1832" max="1837" width="10.7109375" style="56" customWidth="1"/>
    <col min="1838" max="2034" width="10.7109375" style="56"/>
    <col min="2035" max="2035" width="16.85546875" style="56" customWidth="1"/>
    <col min="2036" max="2036" width="8.85546875" style="56" customWidth="1"/>
    <col min="2037" max="2037" width="13.7109375" style="56" customWidth="1"/>
    <col min="2038" max="2038" width="13.42578125" style="56" customWidth="1"/>
    <col min="2039" max="2039" width="12.42578125" style="56" customWidth="1"/>
    <col min="2040" max="2040" width="11.7109375" style="56" customWidth="1"/>
    <col min="2041" max="2041" width="12.7109375" style="56" customWidth="1"/>
    <col min="2042" max="2044" width="12.42578125" style="56" customWidth="1"/>
    <col min="2045" max="2045" width="13.42578125" style="56" customWidth="1"/>
    <col min="2046" max="2048" width="11" style="56" customWidth="1"/>
    <col min="2049" max="2049" width="12" style="56" customWidth="1"/>
    <col min="2050" max="2050" width="12.42578125" style="56" customWidth="1"/>
    <col min="2051" max="2051" width="11.85546875" style="56" customWidth="1"/>
    <col min="2052" max="2052" width="11.7109375" style="56" customWidth="1"/>
    <col min="2053" max="2053" width="12.28515625" style="56" customWidth="1"/>
    <col min="2054" max="2054" width="12.42578125" style="56" customWidth="1"/>
    <col min="2055" max="2057" width="11.7109375" style="56" customWidth="1"/>
    <col min="2058" max="2060" width="10.85546875" style="56" customWidth="1"/>
    <col min="2061" max="2061" width="10.7109375" style="56" customWidth="1"/>
    <col min="2062" max="2063" width="11.7109375" style="56" customWidth="1"/>
    <col min="2064" max="2064" width="10.140625" style="56" customWidth="1"/>
    <col min="2065" max="2065" width="11.140625" style="56" customWidth="1"/>
    <col min="2066" max="2066" width="11" style="56" customWidth="1"/>
    <col min="2067" max="2071" width="11.7109375" style="56" customWidth="1"/>
    <col min="2072" max="2075" width="10.7109375" style="56"/>
    <col min="2076" max="2076" width="13.42578125" style="56" customWidth="1"/>
    <col min="2077" max="2077" width="12.42578125" style="56" bestFit="1" customWidth="1"/>
    <col min="2078" max="2078" width="11.7109375" style="56" customWidth="1"/>
    <col min="2079" max="2079" width="14.140625" style="56" bestFit="1" customWidth="1"/>
    <col min="2080" max="2080" width="11.42578125" style="56" bestFit="1" customWidth="1"/>
    <col min="2081" max="2087" width="10.7109375" style="56"/>
    <col min="2088" max="2093" width="10.7109375" style="56" customWidth="1"/>
    <col min="2094" max="2290" width="10.7109375" style="56"/>
    <col min="2291" max="2291" width="16.85546875" style="56" customWidth="1"/>
    <col min="2292" max="2292" width="8.85546875" style="56" customWidth="1"/>
    <col min="2293" max="2293" width="13.7109375" style="56" customWidth="1"/>
    <col min="2294" max="2294" width="13.42578125" style="56" customWidth="1"/>
    <col min="2295" max="2295" width="12.42578125" style="56" customWidth="1"/>
    <col min="2296" max="2296" width="11.7109375" style="56" customWidth="1"/>
    <col min="2297" max="2297" width="12.7109375" style="56" customWidth="1"/>
    <col min="2298" max="2300" width="12.42578125" style="56" customWidth="1"/>
    <col min="2301" max="2301" width="13.42578125" style="56" customWidth="1"/>
    <col min="2302" max="2304" width="11" style="56" customWidth="1"/>
    <col min="2305" max="2305" width="12" style="56" customWidth="1"/>
    <col min="2306" max="2306" width="12.42578125" style="56" customWidth="1"/>
    <col min="2307" max="2307" width="11.85546875" style="56" customWidth="1"/>
    <col min="2308" max="2308" width="11.7109375" style="56" customWidth="1"/>
    <col min="2309" max="2309" width="12.28515625" style="56" customWidth="1"/>
    <col min="2310" max="2310" width="12.42578125" style="56" customWidth="1"/>
    <col min="2311" max="2313" width="11.7109375" style="56" customWidth="1"/>
    <col min="2314" max="2316" width="10.85546875" style="56" customWidth="1"/>
    <col min="2317" max="2317" width="10.7109375" style="56" customWidth="1"/>
    <col min="2318" max="2319" width="11.7109375" style="56" customWidth="1"/>
    <col min="2320" max="2320" width="10.140625" style="56" customWidth="1"/>
    <col min="2321" max="2321" width="11.140625" style="56" customWidth="1"/>
    <col min="2322" max="2322" width="11" style="56" customWidth="1"/>
    <col min="2323" max="2327" width="11.7109375" style="56" customWidth="1"/>
    <col min="2328" max="2331" width="10.7109375" style="56"/>
    <col min="2332" max="2332" width="13.42578125" style="56" customWidth="1"/>
    <col min="2333" max="2333" width="12.42578125" style="56" bestFit="1" customWidth="1"/>
    <col min="2334" max="2334" width="11.7109375" style="56" customWidth="1"/>
    <col min="2335" max="2335" width="14.140625" style="56" bestFit="1" customWidth="1"/>
    <col min="2336" max="2336" width="11.42578125" style="56" bestFit="1" customWidth="1"/>
    <col min="2337" max="2343" width="10.7109375" style="56"/>
    <col min="2344" max="2349" width="10.7109375" style="56" customWidth="1"/>
    <col min="2350" max="2546" width="10.7109375" style="56"/>
    <col min="2547" max="2547" width="16.85546875" style="56" customWidth="1"/>
    <col min="2548" max="2548" width="8.85546875" style="56" customWidth="1"/>
    <col min="2549" max="2549" width="13.7109375" style="56" customWidth="1"/>
    <col min="2550" max="2550" width="13.42578125" style="56" customWidth="1"/>
    <col min="2551" max="2551" width="12.42578125" style="56" customWidth="1"/>
    <col min="2552" max="2552" width="11.7109375" style="56" customWidth="1"/>
    <col min="2553" max="2553" width="12.7109375" style="56" customWidth="1"/>
    <col min="2554" max="2556" width="12.42578125" style="56" customWidth="1"/>
    <col min="2557" max="2557" width="13.42578125" style="56" customWidth="1"/>
    <col min="2558" max="2560" width="11" style="56" customWidth="1"/>
    <col min="2561" max="2561" width="12" style="56" customWidth="1"/>
    <col min="2562" max="2562" width="12.42578125" style="56" customWidth="1"/>
    <col min="2563" max="2563" width="11.85546875" style="56" customWidth="1"/>
    <col min="2564" max="2564" width="11.7109375" style="56" customWidth="1"/>
    <col min="2565" max="2565" width="12.28515625" style="56" customWidth="1"/>
    <col min="2566" max="2566" width="12.42578125" style="56" customWidth="1"/>
    <col min="2567" max="2569" width="11.7109375" style="56" customWidth="1"/>
    <col min="2570" max="2572" width="10.85546875" style="56" customWidth="1"/>
    <col min="2573" max="2573" width="10.7109375" style="56" customWidth="1"/>
    <col min="2574" max="2575" width="11.7109375" style="56" customWidth="1"/>
    <col min="2576" max="2576" width="10.140625" style="56" customWidth="1"/>
    <col min="2577" max="2577" width="11.140625" style="56" customWidth="1"/>
    <col min="2578" max="2578" width="11" style="56" customWidth="1"/>
    <col min="2579" max="2583" width="11.7109375" style="56" customWidth="1"/>
    <col min="2584" max="2587" width="10.7109375" style="56"/>
    <col min="2588" max="2588" width="13.42578125" style="56" customWidth="1"/>
    <col min="2589" max="2589" width="12.42578125" style="56" bestFit="1" customWidth="1"/>
    <col min="2590" max="2590" width="11.7109375" style="56" customWidth="1"/>
    <col min="2591" max="2591" width="14.140625" style="56" bestFit="1" customWidth="1"/>
    <col min="2592" max="2592" width="11.42578125" style="56" bestFit="1" customWidth="1"/>
    <col min="2593" max="2599" width="10.7109375" style="56"/>
    <col min="2600" max="2605" width="10.7109375" style="56" customWidth="1"/>
    <col min="2606" max="2802" width="10.7109375" style="56"/>
    <col min="2803" max="2803" width="16.85546875" style="56" customWidth="1"/>
    <col min="2804" max="2804" width="8.85546875" style="56" customWidth="1"/>
    <col min="2805" max="2805" width="13.7109375" style="56" customWidth="1"/>
    <col min="2806" max="2806" width="13.42578125" style="56" customWidth="1"/>
    <col min="2807" max="2807" width="12.42578125" style="56" customWidth="1"/>
    <col min="2808" max="2808" width="11.7109375" style="56" customWidth="1"/>
    <col min="2809" max="2809" width="12.7109375" style="56" customWidth="1"/>
    <col min="2810" max="2812" width="12.42578125" style="56" customWidth="1"/>
    <col min="2813" max="2813" width="13.42578125" style="56" customWidth="1"/>
    <col min="2814" max="2816" width="11" style="56" customWidth="1"/>
    <col min="2817" max="2817" width="12" style="56" customWidth="1"/>
    <col min="2818" max="2818" width="12.42578125" style="56" customWidth="1"/>
    <col min="2819" max="2819" width="11.85546875" style="56" customWidth="1"/>
    <col min="2820" max="2820" width="11.7109375" style="56" customWidth="1"/>
    <col min="2821" max="2821" width="12.28515625" style="56" customWidth="1"/>
    <col min="2822" max="2822" width="12.42578125" style="56" customWidth="1"/>
    <col min="2823" max="2825" width="11.7109375" style="56" customWidth="1"/>
    <col min="2826" max="2828" width="10.85546875" style="56" customWidth="1"/>
    <col min="2829" max="2829" width="10.7109375" style="56" customWidth="1"/>
    <col min="2830" max="2831" width="11.7109375" style="56" customWidth="1"/>
    <col min="2832" max="2832" width="10.140625" style="56" customWidth="1"/>
    <col min="2833" max="2833" width="11.140625" style="56" customWidth="1"/>
    <col min="2834" max="2834" width="11" style="56" customWidth="1"/>
    <col min="2835" max="2839" width="11.7109375" style="56" customWidth="1"/>
    <col min="2840" max="2843" width="10.7109375" style="56"/>
    <col min="2844" max="2844" width="13.42578125" style="56" customWidth="1"/>
    <col min="2845" max="2845" width="12.42578125" style="56" bestFit="1" customWidth="1"/>
    <col min="2846" max="2846" width="11.7109375" style="56" customWidth="1"/>
    <col min="2847" max="2847" width="14.140625" style="56" bestFit="1" customWidth="1"/>
    <col min="2848" max="2848" width="11.42578125" style="56" bestFit="1" customWidth="1"/>
    <col min="2849" max="2855" width="10.7109375" style="56"/>
    <col min="2856" max="2861" width="10.7109375" style="56" customWidth="1"/>
    <col min="2862" max="3058" width="10.7109375" style="56"/>
    <col min="3059" max="3059" width="16.85546875" style="56" customWidth="1"/>
    <col min="3060" max="3060" width="8.85546875" style="56" customWidth="1"/>
    <col min="3061" max="3061" width="13.7109375" style="56" customWidth="1"/>
    <col min="3062" max="3062" width="13.42578125" style="56" customWidth="1"/>
    <col min="3063" max="3063" width="12.42578125" style="56" customWidth="1"/>
    <col min="3064" max="3064" width="11.7109375" style="56" customWidth="1"/>
    <col min="3065" max="3065" width="12.7109375" style="56" customWidth="1"/>
    <col min="3066" max="3068" width="12.42578125" style="56" customWidth="1"/>
    <col min="3069" max="3069" width="13.42578125" style="56" customWidth="1"/>
    <col min="3070" max="3072" width="11" style="56" customWidth="1"/>
    <col min="3073" max="3073" width="12" style="56" customWidth="1"/>
    <col min="3074" max="3074" width="12.42578125" style="56" customWidth="1"/>
    <col min="3075" max="3075" width="11.85546875" style="56" customWidth="1"/>
    <col min="3076" max="3076" width="11.7109375" style="56" customWidth="1"/>
    <col min="3077" max="3077" width="12.28515625" style="56" customWidth="1"/>
    <col min="3078" max="3078" width="12.42578125" style="56" customWidth="1"/>
    <col min="3079" max="3081" width="11.7109375" style="56" customWidth="1"/>
    <col min="3082" max="3084" width="10.85546875" style="56" customWidth="1"/>
    <col min="3085" max="3085" width="10.7109375" style="56" customWidth="1"/>
    <col min="3086" max="3087" width="11.7109375" style="56" customWidth="1"/>
    <col min="3088" max="3088" width="10.140625" style="56" customWidth="1"/>
    <col min="3089" max="3089" width="11.140625" style="56" customWidth="1"/>
    <col min="3090" max="3090" width="11" style="56" customWidth="1"/>
    <col min="3091" max="3095" width="11.7109375" style="56" customWidth="1"/>
    <col min="3096" max="3099" width="10.7109375" style="56"/>
    <col min="3100" max="3100" width="13.42578125" style="56" customWidth="1"/>
    <col min="3101" max="3101" width="12.42578125" style="56" bestFit="1" customWidth="1"/>
    <col min="3102" max="3102" width="11.7109375" style="56" customWidth="1"/>
    <col min="3103" max="3103" width="14.140625" style="56" bestFit="1" customWidth="1"/>
    <col min="3104" max="3104" width="11.42578125" style="56" bestFit="1" customWidth="1"/>
    <col min="3105" max="3111" width="10.7109375" style="56"/>
    <col min="3112" max="3117" width="10.7109375" style="56" customWidth="1"/>
    <col min="3118" max="3314" width="10.7109375" style="56"/>
    <col min="3315" max="3315" width="16.85546875" style="56" customWidth="1"/>
    <col min="3316" max="3316" width="8.85546875" style="56" customWidth="1"/>
    <col min="3317" max="3317" width="13.7109375" style="56" customWidth="1"/>
    <col min="3318" max="3318" width="13.42578125" style="56" customWidth="1"/>
    <col min="3319" max="3319" width="12.42578125" style="56" customWidth="1"/>
    <col min="3320" max="3320" width="11.7109375" style="56" customWidth="1"/>
    <col min="3321" max="3321" width="12.7109375" style="56" customWidth="1"/>
    <col min="3322" max="3324" width="12.42578125" style="56" customWidth="1"/>
    <col min="3325" max="3325" width="13.42578125" style="56" customWidth="1"/>
    <col min="3326" max="3328" width="11" style="56" customWidth="1"/>
    <col min="3329" max="3329" width="12" style="56" customWidth="1"/>
    <col min="3330" max="3330" width="12.42578125" style="56" customWidth="1"/>
    <col min="3331" max="3331" width="11.85546875" style="56" customWidth="1"/>
    <col min="3332" max="3332" width="11.7109375" style="56" customWidth="1"/>
    <col min="3333" max="3333" width="12.28515625" style="56" customWidth="1"/>
    <col min="3334" max="3334" width="12.42578125" style="56" customWidth="1"/>
    <col min="3335" max="3337" width="11.7109375" style="56" customWidth="1"/>
    <col min="3338" max="3340" width="10.85546875" style="56" customWidth="1"/>
    <col min="3341" max="3341" width="10.7109375" style="56" customWidth="1"/>
    <col min="3342" max="3343" width="11.7109375" style="56" customWidth="1"/>
    <col min="3344" max="3344" width="10.140625" style="56" customWidth="1"/>
    <col min="3345" max="3345" width="11.140625" style="56" customWidth="1"/>
    <col min="3346" max="3346" width="11" style="56" customWidth="1"/>
    <col min="3347" max="3351" width="11.7109375" style="56" customWidth="1"/>
    <col min="3352" max="3355" width="10.7109375" style="56"/>
    <col min="3356" max="3356" width="13.42578125" style="56" customWidth="1"/>
    <col min="3357" max="3357" width="12.42578125" style="56" bestFit="1" customWidth="1"/>
    <col min="3358" max="3358" width="11.7109375" style="56" customWidth="1"/>
    <col min="3359" max="3359" width="14.140625" style="56" bestFit="1" customWidth="1"/>
    <col min="3360" max="3360" width="11.42578125" style="56" bestFit="1" customWidth="1"/>
    <col min="3361" max="3367" width="10.7109375" style="56"/>
    <col min="3368" max="3373" width="10.7109375" style="56" customWidth="1"/>
    <col min="3374" max="3570" width="10.7109375" style="56"/>
    <col min="3571" max="3571" width="16.85546875" style="56" customWidth="1"/>
    <col min="3572" max="3572" width="8.85546875" style="56" customWidth="1"/>
    <col min="3573" max="3573" width="13.7109375" style="56" customWidth="1"/>
    <col min="3574" max="3574" width="13.42578125" style="56" customWidth="1"/>
    <col min="3575" max="3575" width="12.42578125" style="56" customWidth="1"/>
    <col min="3576" max="3576" width="11.7109375" style="56" customWidth="1"/>
    <col min="3577" max="3577" width="12.7109375" style="56" customWidth="1"/>
    <col min="3578" max="3580" width="12.42578125" style="56" customWidth="1"/>
    <col min="3581" max="3581" width="13.42578125" style="56" customWidth="1"/>
    <col min="3582" max="3584" width="11" style="56" customWidth="1"/>
    <col min="3585" max="3585" width="12" style="56" customWidth="1"/>
    <col min="3586" max="3586" width="12.42578125" style="56" customWidth="1"/>
    <col min="3587" max="3587" width="11.85546875" style="56" customWidth="1"/>
    <col min="3588" max="3588" width="11.7109375" style="56" customWidth="1"/>
    <col min="3589" max="3589" width="12.28515625" style="56" customWidth="1"/>
    <col min="3590" max="3590" width="12.42578125" style="56" customWidth="1"/>
    <col min="3591" max="3593" width="11.7109375" style="56" customWidth="1"/>
    <col min="3594" max="3596" width="10.85546875" style="56" customWidth="1"/>
    <col min="3597" max="3597" width="10.7109375" style="56" customWidth="1"/>
    <col min="3598" max="3599" width="11.7109375" style="56" customWidth="1"/>
    <col min="3600" max="3600" width="10.140625" style="56" customWidth="1"/>
    <col min="3601" max="3601" width="11.140625" style="56" customWidth="1"/>
    <col min="3602" max="3602" width="11" style="56" customWidth="1"/>
    <col min="3603" max="3607" width="11.7109375" style="56" customWidth="1"/>
    <col min="3608" max="3611" width="10.7109375" style="56"/>
    <col min="3612" max="3612" width="13.42578125" style="56" customWidth="1"/>
    <col min="3613" max="3613" width="12.42578125" style="56" bestFit="1" customWidth="1"/>
    <col min="3614" max="3614" width="11.7109375" style="56" customWidth="1"/>
    <col min="3615" max="3615" width="14.140625" style="56" bestFit="1" customWidth="1"/>
    <col min="3616" max="3616" width="11.42578125" style="56" bestFit="1" customWidth="1"/>
    <col min="3617" max="3623" width="10.7109375" style="56"/>
    <col min="3624" max="3629" width="10.7109375" style="56" customWidth="1"/>
    <col min="3630" max="3826" width="10.7109375" style="56"/>
    <col min="3827" max="3827" width="16.85546875" style="56" customWidth="1"/>
    <col min="3828" max="3828" width="8.85546875" style="56" customWidth="1"/>
    <col min="3829" max="3829" width="13.7109375" style="56" customWidth="1"/>
    <col min="3830" max="3830" width="13.42578125" style="56" customWidth="1"/>
    <col min="3831" max="3831" width="12.42578125" style="56" customWidth="1"/>
    <col min="3832" max="3832" width="11.7109375" style="56" customWidth="1"/>
    <col min="3833" max="3833" width="12.7109375" style="56" customWidth="1"/>
    <col min="3834" max="3836" width="12.42578125" style="56" customWidth="1"/>
    <col min="3837" max="3837" width="13.42578125" style="56" customWidth="1"/>
    <col min="3838" max="3840" width="11" style="56" customWidth="1"/>
    <col min="3841" max="3841" width="12" style="56" customWidth="1"/>
    <col min="3842" max="3842" width="12.42578125" style="56" customWidth="1"/>
    <col min="3843" max="3843" width="11.85546875" style="56" customWidth="1"/>
    <col min="3844" max="3844" width="11.7109375" style="56" customWidth="1"/>
    <col min="3845" max="3845" width="12.28515625" style="56" customWidth="1"/>
    <col min="3846" max="3846" width="12.42578125" style="56" customWidth="1"/>
    <col min="3847" max="3849" width="11.7109375" style="56" customWidth="1"/>
    <col min="3850" max="3852" width="10.85546875" style="56" customWidth="1"/>
    <col min="3853" max="3853" width="10.7109375" style="56" customWidth="1"/>
    <col min="3854" max="3855" width="11.7109375" style="56" customWidth="1"/>
    <col min="3856" max="3856" width="10.140625" style="56" customWidth="1"/>
    <col min="3857" max="3857" width="11.140625" style="56" customWidth="1"/>
    <col min="3858" max="3858" width="11" style="56" customWidth="1"/>
    <col min="3859" max="3863" width="11.7109375" style="56" customWidth="1"/>
    <col min="3864" max="3867" width="10.7109375" style="56"/>
    <col min="3868" max="3868" width="13.42578125" style="56" customWidth="1"/>
    <col min="3869" max="3869" width="12.42578125" style="56" bestFit="1" customWidth="1"/>
    <col min="3870" max="3870" width="11.7109375" style="56" customWidth="1"/>
    <col min="3871" max="3871" width="14.140625" style="56" bestFit="1" customWidth="1"/>
    <col min="3872" max="3872" width="11.42578125" style="56" bestFit="1" customWidth="1"/>
    <col min="3873" max="3879" width="10.7109375" style="56"/>
    <col min="3880" max="3885" width="10.7109375" style="56" customWidth="1"/>
    <col min="3886" max="4082" width="10.7109375" style="56"/>
    <col min="4083" max="4083" width="16.85546875" style="56" customWidth="1"/>
    <col min="4084" max="4084" width="8.85546875" style="56" customWidth="1"/>
    <col min="4085" max="4085" width="13.7109375" style="56" customWidth="1"/>
    <col min="4086" max="4086" width="13.42578125" style="56" customWidth="1"/>
    <col min="4087" max="4087" width="12.42578125" style="56" customWidth="1"/>
    <col min="4088" max="4088" width="11.7109375" style="56" customWidth="1"/>
    <col min="4089" max="4089" width="12.7109375" style="56" customWidth="1"/>
    <col min="4090" max="4092" width="12.42578125" style="56" customWidth="1"/>
    <col min="4093" max="4093" width="13.42578125" style="56" customWidth="1"/>
    <col min="4094" max="4096" width="11" style="56" customWidth="1"/>
    <col min="4097" max="4097" width="12" style="56" customWidth="1"/>
    <col min="4098" max="4098" width="12.42578125" style="56" customWidth="1"/>
    <col min="4099" max="4099" width="11.85546875" style="56" customWidth="1"/>
    <col min="4100" max="4100" width="11.7109375" style="56" customWidth="1"/>
    <col min="4101" max="4101" width="12.28515625" style="56" customWidth="1"/>
    <col min="4102" max="4102" width="12.42578125" style="56" customWidth="1"/>
    <col min="4103" max="4105" width="11.7109375" style="56" customWidth="1"/>
    <col min="4106" max="4108" width="10.85546875" style="56" customWidth="1"/>
    <col min="4109" max="4109" width="10.7109375" style="56" customWidth="1"/>
    <col min="4110" max="4111" width="11.7109375" style="56" customWidth="1"/>
    <col min="4112" max="4112" width="10.140625" style="56" customWidth="1"/>
    <col min="4113" max="4113" width="11.140625" style="56" customWidth="1"/>
    <col min="4114" max="4114" width="11" style="56" customWidth="1"/>
    <col min="4115" max="4119" width="11.7109375" style="56" customWidth="1"/>
    <col min="4120" max="4123" width="10.7109375" style="56"/>
    <col min="4124" max="4124" width="13.42578125" style="56" customWidth="1"/>
    <col min="4125" max="4125" width="12.42578125" style="56" bestFit="1" customWidth="1"/>
    <col min="4126" max="4126" width="11.7109375" style="56" customWidth="1"/>
    <col min="4127" max="4127" width="14.140625" style="56" bestFit="1" customWidth="1"/>
    <col min="4128" max="4128" width="11.42578125" style="56" bestFit="1" customWidth="1"/>
    <col min="4129" max="4135" width="10.7109375" style="56"/>
    <col min="4136" max="4141" width="10.7109375" style="56" customWidth="1"/>
    <col min="4142" max="4338" width="10.7109375" style="56"/>
    <col min="4339" max="4339" width="16.85546875" style="56" customWidth="1"/>
    <col min="4340" max="4340" width="8.85546875" style="56" customWidth="1"/>
    <col min="4341" max="4341" width="13.7109375" style="56" customWidth="1"/>
    <col min="4342" max="4342" width="13.42578125" style="56" customWidth="1"/>
    <col min="4343" max="4343" width="12.42578125" style="56" customWidth="1"/>
    <col min="4344" max="4344" width="11.7109375" style="56" customWidth="1"/>
    <col min="4345" max="4345" width="12.7109375" style="56" customWidth="1"/>
    <col min="4346" max="4348" width="12.42578125" style="56" customWidth="1"/>
    <col min="4349" max="4349" width="13.42578125" style="56" customWidth="1"/>
    <col min="4350" max="4352" width="11" style="56" customWidth="1"/>
    <col min="4353" max="4353" width="12" style="56" customWidth="1"/>
    <col min="4354" max="4354" width="12.42578125" style="56" customWidth="1"/>
    <col min="4355" max="4355" width="11.85546875" style="56" customWidth="1"/>
    <col min="4356" max="4356" width="11.7109375" style="56" customWidth="1"/>
    <col min="4357" max="4357" width="12.28515625" style="56" customWidth="1"/>
    <col min="4358" max="4358" width="12.42578125" style="56" customWidth="1"/>
    <col min="4359" max="4361" width="11.7109375" style="56" customWidth="1"/>
    <col min="4362" max="4364" width="10.85546875" style="56" customWidth="1"/>
    <col min="4365" max="4365" width="10.7109375" style="56" customWidth="1"/>
    <col min="4366" max="4367" width="11.7109375" style="56" customWidth="1"/>
    <col min="4368" max="4368" width="10.140625" style="56" customWidth="1"/>
    <col min="4369" max="4369" width="11.140625" style="56" customWidth="1"/>
    <col min="4370" max="4370" width="11" style="56" customWidth="1"/>
    <col min="4371" max="4375" width="11.7109375" style="56" customWidth="1"/>
    <col min="4376" max="4379" width="10.7109375" style="56"/>
    <col min="4380" max="4380" width="13.42578125" style="56" customWidth="1"/>
    <col min="4381" max="4381" width="12.42578125" style="56" bestFit="1" customWidth="1"/>
    <col min="4382" max="4382" width="11.7109375" style="56" customWidth="1"/>
    <col min="4383" max="4383" width="14.140625" style="56" bestFit="1" customWidth="1"/>
    <col min="4384" max="4384" width="11.42578125" style="56" bestFit="1" customWidth="1"/>
    <col min="4385" max="4391" width="10.7109375" style="56"/>
    <col min="4392" max="4397" width="10.7109375" style="56" customWidth="1"/>
    <col min="4398" max="4594" width="10.7109375" style="56"/>
    <col min="4595" max="4595" width="16.85546875" style="56" customWidth="1"/>
    <col min="4596" max="4596" width="8.85546875" style="56" customWidth="1"/>
    <col min="4597" max="4597" width="13.7109375" style="56" customWidth="1"/>
    <col min="4598" max="4598" width="13.42578125" style="56" customWidth="1"/>
    <col min="4599" max="4599" width="12.42578125" style="56" customWidth="1"/>
    <col min="4600" max="4600" width="11.7109375" style="56" customWidth="1"/>
    <col min="4601" max="4601" width="12.7109375" style="56" customWidth="1"/>
    <col min="4602" max="4604" width="12.42578125" style="56" customWidth="1"/>
    <col min="4605" max="4605" width="13.42578125" style="56" customWidth="1"/>
    <col min="4606" max="4608" width="11" style="56" customWidth="1"/>
    <col min="4609" max="4609" width="12" style="56" customWidth="1"/>
    <col min="4610" max="4610" width="12.42578125" style="56" customWidth="1"/>
    <col min="4611" max="4611" width="11.85546875" style="56" customWidth="1"/>
    <col min="4612" max="4612" width="11.7109375" style="56" customWidth="1"/>
    <col min="4613" max="4613" width="12.28515625" style="56" customWidth="1"/>
    <col min="4614" max="4614" width="12.42578125" style="56" customWidth="1"/>
    <col min="4615" max="4617" width="11.7109375" style="56" customWidth="1"/>
    <col min="4618" max="4620" width="10.85546875" style="56" customWidth="1"/>
    <col min="4621" max="4621" width="10.7109375" style="56" customWidth="1"/>
    <col min="4622" max="4623" width="11.7109375" style="56" customWidth="1"/>
    <col min="4624" max="4624" width="10.140625" style="56" customWidth="1"/>
    <col min="4625" max="4625" width="11.140625" style="56" customWidth="1"/>
    <col min="4626" max="4626" width="11" style="56" customWidth="1"/>
    <col min="4627" max="4631" width="11.7109375" style="56" customWidth="1"/>
    <col min="4632" max="4635" width="10.7109375" style="56"/>
    <col min="4636" max="4636" width="13.42578125" style="56" customWidth="1"/>
    <col min="4637" max="4637" width="12.42578125" style="56" bestFit="1" customWidth="1"/>
    <col min="4638" max="4638" width="11.7109375" style="56" customWidth="1"/>
    <col min="4639" max="4639" width="14.140625" style="56" bestFit="1" customWidth="1"/>
    <col min="4640" max="4640" width="11.42578125" style="56" bestFit="1" customWidth="1"/>
    <col min="4641" max="4647" width="10.7109375" style="56"/>
    <col min="4648" max="4653" width="10.7109375" style="56" customWidth="1"/>
    <col min="4654" max="4850" width="10.7109375" style="56"/>
    <col min="4851" max="4851" width="16.85546875" style="56" customWidth="1"/>
    <col min="4852" max="4852" width="8.85546875" style="56" customWidth="1"/>
    <col min="4853" max="4853" width="13.7109375" style="56" customWidth="1"/>
    <col min="4854" max="4854" width="13.42578125" style="56" customWidth="1"/>
    <col min="4855" max="4855" width="12.42578125" style="56" customWidth="1"/>
    <col min="4856" max="4856" width="11.7109375" style="56" customWidth="1"/>
    <col min="4857" max="4857" width="12.7109375" style="56" customWidth="1"/>
    <col min="4858" max="4860" width="12.42578125" style="56" customWidth="1"/>
    <col min="4861" max="4861" width="13.42578125" style="56" customWidth="1"/>
    <col min="4862" max="4864" width="11" style="56" customWidth="1"/>
    <col min="4865" max="4865" width="12" style="56" customWidth="1"/>
    <col min="4866" max="4866" width="12.42578125" style="56" customWidth="1"/>
    <col min="4867" max="4867" width="11.85546875" style="56" customWidth="1"/>
    <col min="4868" max="4868" width="11.7109375" style="56" customWidth="1"/>
    <col min="4869" max="4869" width="12.28515625" style="56" customWidth="1"/>
    <col min="4870" max="4870" width="12.42578125" style="56" customWidth="1"/>
    <col min="4871" max="4873" width="11.7109375" style="56" customWidth="1"/>
    <col min="4874" max="4876" width="10.85546875" style="56" customWidth="1"/>
    <col min="4877" max="4877" width="10.7109375" style="56" customWidth="1"/>
    <col min="4878" max="4879" width="11.7109375" style="56" customWidth="1"/>
    <col min="4880" max="4880" width="10.140625" style="56" customWidth="1"/>
    <col min="4881" max="4881" width="11.140625" style="56" customWidth="1"/>
    <col min="4882" max="4882" width="11" style="56" customWidth="1"/>
    <col min="4883" max="4887" width="11.7109375" style="56" customWidth="1"/>
    <col min="4888" max="4891" width="10.7109375" style="56"/>
    <col min="4892" max="4892" width="13.42578125" style="56" customWidth="1"/>
    <col min="4893" max="4893" width="12.42578125" style="56" bestFit="1" customWidth="1"/>
    <col min="4894" max="4894" width="11.7109375" style="56" customWidth="1"/>
    <col min="4895" max="4895" width="14.140625" style="56" bestFit="1" customWidth="1"/>
    <col min="4896" max="4896" width="11.42578125" style="56" bestFit="1" customWidth="1"/>
    <col min="4897" max="4903" width="10.7109375" style="56"/>
    <col min="4904" max="4909" width="10.7109375" style="56" customWidth="1"/>
    <col min="4910" max="5106" width="10.7109375" style="56"/>
    <col min="5107" max="5107" width="16.85546875" style="56" customWidth="1"/>
    <col min="5108" max="5108" width="8.85546875" style="56" customWidth="1"/>
    <col min="5109" max="5109" width="13.7109375" style="56" customWidth="1"/>
    <col min="5110" max="5110" width="13.42578125" style="56" customWidth="1"/>
    <col min="5111" max="5111" width="12.42578125" style="56" customWidth="1"/>
    <col min="5112" max="5112" width="11.7109375" style="56" customWidth="1"/>
    <col min="5113" max="5113" width="12.7109375" style="56" customWidth="1"/>
    <col min="5114" max="5116" width="12.42578125" style="56" customWidth="1"/>
    <col min="5117" max="5117" width="13.42578125" style="56" customWidth="1"/>
    <col min="5118" max="5120" width="11" style="56" customWidth="1"/>
    <col min="5121" max="5121" width="12" style="56" customWidth="1"/>
    <col min="5122" max="5122" width="12.42578125" style="56" customWidth="1"/>
    <col min="5123" max="5123" width="11.85546875" style="56" customWidth="1"/>
    <col min="5124" max="5124" width="11.7109375" style="56" customWidth="1"/>
    <col min="5125" max="5125" width="12.28515625" style="56" customWidth="1"/>
    <col min="5126" max="5126" width="12.42578125" style="56" customWidth="1"/>
    <col min="5127" max="5129" width="11.7109375" style="56" customWidth="1"/>
    <col min="5130" max="5132" width="10.85546875" style="56" customWidth="1"/>
    <col min="5133" max="5133" width="10.7109375" style="56" customWidth="1"/>
    <col min="5134" max="5135" width="11.7109375" style="56" customWidth="1"/>
    <col min="5136" max="5136" width="10.140625" style="56" customWidth="1"/>
    <col min="5137" max="5137" width="11.140625" style="56" customWidth="1"/>
    <col min="5138" max="5138" width="11" style="56" customWidth="1"/>
    <col min="5139" max="5143" width="11.7109375" style="56" customWidth="1"/>
    <col min="5144" max="5147" width="10.7109375" style="56"/>
    <col min="5148" max="5148" width="13.42578125" style="56" customWidth="1"/>
    <col min="5149" max="5149" width="12.42578125" style="56" bestFit="1" customWidth="1"/>
    <col min="5150" max="5150" width="11.7109375" style="56" customWidth="1"/>
    <col min="5151" max="5151" width="14.140625" style="56" bestFit="1" customWidth="1"/>
    <col min="5152" max="5152" width="11.42578125" style="56" bestFit="1" customWidth="1"/>
    <col min="5153" max="5159" width="10.7109375" style="56"/>
    <col min="5160" max="5165" width="10.7109375" style="56" customWidth="1"/>
    <col min="5166" max="5362" width="10.7109375" style="56"/>
    <col min="5363" max="5363" width="16.85546875" style="56" customWidth="1"/>
    <col min="5364" max="5364" width="8.85546875" style="56" customWidth="1"/>
    <col min="5365" max="5365" width="13.7109375" style="56" customWidth="1"/>
    <col min="5366" max="5366" width="13.42578125" style="56" customWidth="1"/>
    <col min="5367" max="5367" width="12.42578125" style="56" customWidth="1"/>
    <col min="5368" max="5368" width="11.7109375" style="56" customWidth="1"/>
    <col min="5369" max="5369" width="12.7109375" style="56" customWidth="1"/>
    <col min="5370" max="5372" width="12.42578125" style="56" customWidth="1"/>
    <col min="5373" max="5373" width="13.42578125" style="56" customWidth="1"/>
    <col min="5374" max="5376" width="11" style="56" customWidth="1"/>
    <col min="5377" max="5377" width="12" style="56" customWidth="1"/>
    <col min="5378" max="5378" width="12.42578125" style="56" customWidth="1"/>
    <col min="5379" max="5379" width="11.85546875" style="56" customWidth="1"/>
    <col min="5380" max="5380" width="11.7109375" style="56" customWidth="1"/>
    <col min="5381" max="5381" width="12.28515625" style="56" customWidth="1"/>
    <col min="5382" max="5382" width="12.42578125" style="56" customWidth="1"/>
    <col min="5383" max="5385" width="11.7109375" style="56" customWidth="1"/>
    <col min="5386" max="5388" width="10.85546875" style="56" customWidth="1"/>
    <col min="5389" max="5389" width="10.7109375" style="56" customWidth="1"/>
    <col min="5390" max="5391" width="11.7109375" style="56" customWidth="1"/>
    <col min="5392" max="5392" width="10.140625" style="56" customWidth="1"/>
    <col min="5393" max="5393" width="11.140625" style="56" customWidth="1"/>
    <col min="5394" max="5394" width="11" style="56" customWidth="1"/>
    <col min="5395" max="5399" width="11.7109375" style="56" customWidth="1"/>
    <col min="5400" max="5403" width="10.7109375" style="56"/>
    <col min="5404" max="5404" width="13.42578125" style="56" customWidth="1"/>
    <col min="5405" max="5405" width="12.42578125" style="56" bestFit="1" customWidth="1"/>
    <col min="5406" max="5406" width="11.7109375" style="56" customWidth="1"/>
    <col min="5407" max="5407" width="14.140625" style="56" bestFit="1" customWidth="1"/>
    <col min="5408" max="5408" width="11.42578125" style="56" bestFit="1" customWidth="1"/>
    <col min="5409" max="5415" width="10.7109375" style="56"/>
    <col min="5416" max="5421" width="10.7109375" style="56" customWidth="1"/>
    <col min="5422" max="5618" width="10.7109375" style="56"/>
    <col min="5619" max="5619" width="16.85546875" style="56" customWidth="1"/>
    <col min="5620" max="5620" width="8.85546875" style="56" customWidth="1"/>
    <col min="5621" max="5621" width="13.7109375" style="56" customWidth="1"/>
    <col min="5622" max="5622" width="13.42578125" style="56" customWidth="1"/>
    <col min="5623" max="5623" width="12.42578125" style="56" customWidth="1"/>
    <col min="5624" max="5624" width="11.7109375" style="56" customWidth="1"/>
    <col min="5625" max="5625" width="12.7109375" style="56" customWidth="1"/>
    <col min="5626" max="5628" width="12.42578125" style="56" customWidth="1"/>
    <col min="5629" max="5629" width="13.42578125" style="56" customWidth="1"/>
    <col min="5630" max="5632" width="11" style="56" customWidth="1"/>
    <col min="5633" max="5633" width="12" style="56" customWidth="1"/>
    <col min="5634" max="5634" width="12.42578125" style="56" customWidth="1"/>
    <col min="5635" max="5635" width="11.85546875" style="56" customWidth="1"/>
    <col min="5636" max="5636" width="11.7109375" style="56" customWidth="1"/>
    <col min="5637" max="5637" width="12.28515625" style="56" customWidth="1"/>
    <col min="5638" max="5638" width="12.42578125" style="56" customWidth="1"/>
    <col min="5639" max="5641" width="11.7109375" style="56" customWidth="1"/>
    <col min="5642" max="5644" width="10.85546875" style="56" customWidth="1"/>
    <col min="5645" max="5645" width="10.7109375" style="56" customWidth="1"/>
    <col min="5646" max="5647" width="11.7109375" style="56" customWidth="1"/>
    <col min="5648" max="5648" width="10.140625" style="56" customWidth="1"/>
    <col min="5649" max="5649" width="11.140625" style="56" customWidth="1"/>
    <col min="5650" max="5650" width="11" style="56" customWidth="1"/>
    <col min="5651" max="5655" width="11.7109375" style="56" customWidth="1"/>
    <col min="5656" max="5659" width="10.7109375" style="56"/>
    <col min="5660" max="5660" width="13.42578125" style="56" customWidth="1"/>
    <col min="5661" max="5661" width="12.42578125" style="56" bestFit="1" customWidth="1"/>
    <col min="5662" max="5662" width="11.7109375" style="56" customWidth="1"/>
    <col min="5663" max="5663" width="14.140625" style="56" bestFit="1" customWidth="1"/>
    <col min="5664" max="5664" width="11.42578125" style="56" bestFit="1" customWidth="1"/>
    <col min="5665" max="5671" width="10.7109375" style="56"/>
    <col min="5672" max="5677" width="10.7109375" style="56" customWidth="1"/>
    <col min="5678" max="5874" width="10.7109375" style="56"/>
    <col min="5875" max="5875" width="16.85546875" style="56" customWidth="1"/>
    <col min="5876" max="5876" width="8.85546875" style="56" customWidth="1"/>
    <col min="5877" max="5877" width="13.7109375" style="56" customWidth="1"/>
    <col min="5878" max="5878" width="13.42578125" style="56" customWidth="1"/>
    <col min="5879" max="5879" width="12.42578125" style="56" customWidth="1"/>
    <col min="5880" max="5880" width="11.7109375" style="56" customWidth="1"/>
    <col min="5881" max="5881" width="12.7109375" style="56" customWidth="1"/>
    <col min="5882" max="5884" width="12.42578125" style="56" customWidth="1"/>
    <col min="5885" max="5885" width="13.42578125" style="56" customWidth="1"/>
    <col min="5886" max="5888" width="11" style="56" customWidth="1"/>
    <col min="5889" max="5889" width="12" style="56" customWidth="1"/>
    <col min="5890" max="5890" width="12.42578125" style="56" customWidth="1"/>
    <col min="5891" max="5891" width="11.85546875" style="56" customWidth="1"/>
    <col min="5892" max="5892" width="11.7109375" style="56" customWidth="1"/>
    <col min="5893" max="5893" width="12.28515625" style="56" customWidth="1"/>
    <col min="5894" max="5894" width="12.42578125" style="56" customWidth="1"/>
    <col min="5895" max="5897" width="11.7109375" style="56" customWidth="1"/>
    <col min="5898" max="5900" width="10.85546875" style="56" customWidth="1"/>
    <col min="5901" max="5901" width="10.7109375" style="56" customWidth="1"/>
    <col min="5902" max="5903" width="11.7109375" style="56" customWidth="1"/>
    <col min="5904" max="5904" width="10.140625" style="56" customWidth="1"/>
    <col min="5905" max="5905" width="11.140625" style="56" customWidth="1"/>
    <col min="5906" max="5906" width="11" style="56" customWidth="1"/>
    <col min="5907" max="5911" width="11.7109375" style="56" customWidth="1"/>
    <col min="5912" max="5915" width="10.7109375" style="56"/>
    <col min="5916" max="5916" width="13.42578125" style="56" customWidth="1"/>
    <col min="5917" max="5917" width="12.42578125" style="56" bestFit="1" customWidth="1"/>
    <col min="5918" max="5918" width="11.7109375" style="56" customWidth="1"/>
    <col min="5919" max="5919" width="14.140625" style="56" bestFit="1" customWidth="1"/>
    <col min="5920" max="5920" width="11.42578125" style="56" bestFit="1" customWidth="1"/>
    <col min="5921" max="5927" width="10.7109375" style="56"/>
    <col min="5928" max="5933" width="10.7109375" style="56" customWidth="1"/>
    <col min="5934" max="6130" width="10.7109375" style="56"/>
    <col min="6131" max="6131" width="16.85546875" style="56" customWidth="1"/>
    <col min="6132" max="6132" width="8.85546875" style="56" customWidth="1"/>
    <col min="6133" max="6133" width="13.7109375" style="56" customWidth="1"/>
    <col min="6134" max="6134" width="13.42578125" style="56" customWidth="1"/>
    <col min="6135" max="6135" width="12.42578125" style="56" customWidth="1"/>
    <col min="6136" max="6136" width="11.7109375" style="56" customWidth="1"/>
    <col min="6137" max="6137" width="12.7109375" style="56" customWidth="1"/>
    <col min="6138" max="6140" width="12.42578125" style="56" customWidth="1"/>
    <col min="6141" max="6141" width="13.42578125" style="56" customWidth="1"/>
    <col min="6142" max="6144" width="11" style="56" customWidth="1"/>
    <col min="6145" max="6145" width="12" style="56" customWidth="1"/>
    <col min="6146" max="6146" width="12.42578125" style="56" customWidth="1"/>
    <col min="6147" max="6147" width="11.85546875" style="56" customWidth="1"/>
    <col min="6148" max="6148" width="11.7109375" style="56" customWidth="1"/>
    <col min="6149" max="6149" width="12.28515625" style="56" customWidth="1"/>
    <col min="6150" max="6150" width="12.42578125" style="56" customWidth="1"/>
    <col min="6151" max="6153" width="11.7109375" style="56" customWidth="1"/>
    <col min="6154" max="6156" width="10.85546875" style="56" customWidth="1"/>
    <col min="6157" max="6157" width="10.7109375" style="56" customWidth="1"/>
    <col min="6158" max="6159" width="11.7109375" style="56" customWidth="1"/>
    <col min="6160" max="6160" width="10.140625" style="56" customWidth="1"/>
    <col min="6161" max="6161" width="11.140625" style="56" customWidth="1"/>
    <col min="6162" max="6162" width="11" style="56" customWidth="1"/>
    <col min="6163" max="6167" width="11.7109375" style="56" customWidth="1"/>
    <col min="6168" max="6171" width="10.7109375" style="56"/>
    <col min="6172" max="6172" width="13.42578125" style="56" customWidth="1"/>
    <col min="6173" max="6173" width="12.42578125" style="56" bestFit="1" customWidth="1"/>
    <col min="6174" max="6174" width="11.7109375" style="56" customWidth="1"/>
    <col min="6175" max="6175" width="14.140625" style="56" bestFit="1" customWidth="1"/>
    <col min="6176" max="6176" width="11.42578125" style="56" bestFit="1" customWidth="1"/>
    <col min="6177" max="6183" width="10.7109375" style="56"/>
    <col min="6184" max="6189" width="10.7109375" style="56" customWidth="1"/>
    <col min="6190" max="6386" width="10.7109375" style="56"/>
    <col min="6387" max="6387" width="16.85546875" style="56" customWidth="1"/>
    <col min="6388" max="6388" width="8.85546875" style="56" customWidth="1"/>
    <col min="6389" max="6389" width="13.7109375" style="56" customWidth="1"/>
    <col min="6390" max="6390" width="13.42578125" style="56" customWidth="1"/>
    <col min="6391" max="6391" width="12.42578125" style="56" customWidth="1"/>
    <col min="6392" max="6392" width="11.7109375" style="56" customWidth="1"/>
    <col min="6393" max="6393" width="12.7109375" style="56" customWidth="1"/>
    <col min="6394" max="6396" width="12.42578125" style="56" customWidth="1"/>
    <col min="6397" max="6397" width="13.42578125" style="56" customWidth="1"/>
    <col min="6398" max="6400" width="11" style="56" customWidth="1"/>
    <col min="6401" max="6401" width="12" style="56" customWidth="1"/>
    <col min="6402" max="6402" width="12.42578125" style="56" customWidth="1"/>
    <col min="6403" max="6403" width="11.85546875" style="56" customWidth="1"/>
    <col min="6404" max="6404" width="11.7109375" style="56" customWidth="1"/>
    <col min="6405" max="6405" width="12.28515625" style="56" customWidth="1"/>
    <col min="6406" max="6406" width="12.42578125" style="56" customWidth="1"/>
    <col min="6407" max="6409" width="11.7109375" style="56" customWidth="1"/>
    <col min="6410" max="6412" width="10.85546875" style="56" customWidth="1"/>
    <col min="6413" max="6413" width="10.7109375" style="56" customWidth="1"/>
    <col min="6414" max="6415" width="11.7109375" style="56" customWidth="1"/>
    <col min="6416" max="6416" width="10.140625" style="56" customWidth="1"/>
    <col min="6417" max="6417" width="11.140625" style="56" customWidth="1"/>
    <col min="6418" max="6418" width="11" style="56" customWidth="1"/>
    <col min="6419" max="6423" width="11.7109375" style="56" customWidth="1"/>
    <col min="6424" max="6427" width="10.7109375" style="56"/>
    <col min="6428" max="6428" width="13.42578125" style="56" customWidth="1"/>
    <col min="6429" max="6429" width="12.42578125" style="56" bestFit="1" customWidth="1"/>
    <col min="6430" max="6430" width="11.7109375" style="56" customWidth="1"/>
    <col min="6431" max="6431" width="14.140625" style="56" bestFit="1" customWidth="1"/>
    <col min="6432" max="6432" width="11.42578125" style="56" bestFit="1" customWidth="1"/>
    <col min="6433" max="6439" width="10.7109375" style="56"/>
    <col min="6440" max="6445" width="10.7109375" style="56" customWidth="1"/>
    <col min="6446" max="6642" width="10.7109375" style="56"/>
    <col min="6643" max="6643" width="16.85546875" style="56" customWidth="1"/>
    <col min="6644" max="6644" width="8.85546875" style="56" customWidth="1"/>
    <col min="6645" max="6645" width="13.7109375" style="56" customWidth="1"/>
    <col min="6646" max="6646" width="13.42578125" style="56" customWidth="1"/>
    <col min="6647" max="6647" width="12.42578125" style="56" customWidth="1"/>
    <col min="6648" max="6648" width="11.7109375" style="56" customWidth="1"/>
    <col min="6649" max="6649" width="12.7109375" style="56" customWidth="1"/>
    <col min="6650" max="6652" width="12.42578125" style="56" customWidth="1"/>
    <col min="6653" max="6653" width="13.42578125" style="56" customWidth="1"/>
    <col min="6654" max="6656" width="11" style="56" customWidth="1"/>
    <col min="6657" max="6657" width="12" style="56" customWidth="1"/>
    <col min="6658" max="6658" width="12.42578125" style="56" customWidth="1"/>
    <col min="6659" max="6659" width="11.85546875" style="56" customWidth="1"/>
    <col min="6660" max="6660" width="11.7109375" style="56" customWidth="1"/>
    <col min="6661" max="6661" width="12.28515625" style="56" customWidth="1"/>
    <col min="6662" max="6662" width="12.42578125" style="56" customWidth="1"/>
    <col min="6663" max="6665" width="11.7109375" style="56" customWidth="1"/>
    <col min="6666" max="6668" width="10.85546875" style="56" customWidth="1"/>
    <col min="6669" max="6669" width="10.7109375" style="56" customWidth="1"/>
    <col min="6670" max="6671" width="11.7109375" style="56" customWidth="1"/>
    <col min="6672" max="6672" width="10.140625" style="56" customWidth="1"/>
    <col min="6673" max="6673" width="11.140625" style="56" customWidth="1"/>
    <col min="6674" max="6674" width="11" style="56" customWidth="1"/>
    <col min="6675" max="6679" width="11.7109375" style="56" customWidth="1"/>
    <col min="6680" max="6683" width="10.7109375" style="56"/>
    <col min="6684" max="6684" width="13.42578125" style="56" customWidth="1"/>
    <col min="6685" max="6685" width="12.42578125" style="56" bestFit="1" customWidth="1"/>
    <col min="6686" max="6686" width="11.7109375" style="56" customWidth="1"/>
    <col min="6687" max="6687" width="14.140625" style="56" bestFit="1" customWidth="1"/>
    <col min="6688" max="6688" width="11.42578125" style="56" bestFit="1" customWidth="1"/>
    <col min="6689" max="6695" width="10.7109375" style="56"/>
    <col min="6696" max="6701" width="10.7109375" style="56" customWidth="1"/>
    <col min="6702" max="6898" width="10.7109375" style="56"/>
    <col min="6899" max="6899" width="16.85546875" style="56" customWidth="1"/>
    <col min="6900" max="6900" width="8.85546875" style="56" customWidth="1"/>
    <col min="6901" max="6901" width="13.7109375" style="56" customWidth="1"/>
    <col min="6902" max="6902" width="13.42578125" style="56" customWidth="1"/>
    <col min="6903" max="6903" width="12.42578125" style="56" customWidth="1"/>
    <col min="6904" max="6904" width="11.7109375" style="56" customWidth="1"/>
    <col min="6905" max="6905" width="12.7109375" style="56" customWidth="1"/>
    <col min="6906" max="6908" width="12.42578125" style="56" customWidth="1"/>
    <col min="6909" max="6909" width="13.42578125" style="56" customWidth="1"/>
    <col min="6910" max="6912" width="11" style="56" customWidth="1"/>
    <col min="6913" max="6913" width="12" style="56" customWidth="1"/>
    <col min="6914" max="6914" width="12.42578125" style="56" customWidth="1"/>
    <col min="6915" max="6915" width="11.85546875" style="56" customWidth="1"/>
    <col min="6916" max="6916" width="11.7109375" style="56" customWidth="1"/>
    <col min="6917" max="6917" width="12.28515625" style="56" customWidth="1"/>
    <col min="6918" max="6918" width="12.42578125" style="56" customWidth="1"/>
    <col min="6919" max="6921" width="11.7109375" style="56" customWidth="1"/>
    <col min="6922" max="6924" width="10.85546875" style="56" customWidth="1"/>
    <col min="6925" max="6925" width="10.7109375" style="56" customWidth="1"/>
    <col min="6926" max="6927" width="11.7109375" style="56" customWidth="1"/>
    <col min="6928" max="6928" width="10.140625" style="56" customWidth="1"/>
    <col min="6929" max="6929" width="11.140625" style="56" customWidth="1"/>
    <col min="6930" max="6930" width="11" style="56" customWidth="1"/>
    <col min="6931" max="6935" width="11.7109375" style="56" customWidth="1"/>
    <col min="6936" max="6939" width="10.7109375" style="56"/>
    <col min="6940" max="6940" width="13.42578125" style="56" customWidth="1"/>
    <col min="6941" max="6941" width="12.42578125" style="56" bestFit="1" customWidth="1"/>
    <col min="6942" max="6942" width="11.7109375" style="56" customWidth="1"/>
    <col min="6943" max="6943" width="14.140625" style="56" bestFit="1" customWidth="1"/>
    <col min="6944" max="6944" width="11.42578125" style="56" bestFit="1" customWidth="1"/>
    <col min="6945" max="6951" width="10.7109375" style="56"/>
    <col min="6952" max="6957" width="10.7109375" style="56" customWidth="1"/>
    <col min="6958" max="7154" width="10.7109375" style="56"/>
    <col min="7155" max="7155" width="16.85546875" style="56" customWidth="1"/>
    <col min="7156" max="7156" width="8.85546875" style="56" customWidth="1"/>
    <col min="7157" max="7157" width="13.7109375" style="56" customWidth="1"/>
    <col min="7158" max="7158" width="13.42578125" style="56" customWidth="1"/>
    <col min="7159" max="7159" width="12.42578125" style="56" customWidth="1"/>
    <col min="7160" max="7160" width="11.7109375" style="56" customWidth="1"/>
    <col min="7161" max="7161" width="12.7109375" style="56" customWidth="1"/>
    <col min="7162" max="7164" width="12.42578125" style="56" customWidth="1"/>
    <col min="7165" max="7165" width="13.42578125" style="56" customWidth="1"/>
    <col min="7166" max="7168" width="11" style="56" customWidth="1"/>
    <col min="7169" max="7169" width="12" style="56" customWidth="1"/>
    <col min="7170" max="7170" width="12.42578125" style="56" customWidth="1"/>
    <col min="7171" max="7171" width="11.85546875" style="56" customWidth="1"/>
    <col min="7172" max="7172" width="11.7109375" style="56" customWidth="1"/>
    <col min="7173" max="7173" width="12.28515625" style="56" customWidth="1"/>
    <col min="7174" max="7174" width="12.42578125" style="56" customWidth="1"/>
    <col min="7175" max="7177" width="11.7109375" style="56" customWidth="1"/>
    <col min="7178" max="7180" width="10.85546875" style="56" customWidth="1"/>
    <col min="7181" max="7181" width="10.7109375" style="56" customWidth="1"/>
    <col min="7182" max="7183" width="11.7109375" style="56" customWidth="1"/>
    <col min="7184" max="7184" width="10.140625" style="56" customWidth="1"/>
    <col min="7185" max="7185" width="11.140625" style="56" customWidth="1"/>
    <col min="7186" max="7186" width="11" style="56" customWidth="1"/>
    <col min="7187" max="7191" width="11.7109375" style="56" customWidth="1"/>
    <col min="7192" max="7195" width="10.7109375" style="56"/>
    <col min="7196" max="7196" width="13.42578125" style="56" customWidth="1"/>
    <col min="7197" max="7197" width="12.42578125" style="56" bestFit="1" customWidth="1"/>
    <col min="7198" max="7198" width="11.7109375" style="56" customWidth="1"/>
    <col min="7199" max="7199" width="14.140625" style="56" bestFit="1" customWidth="1"/>
    <col min="7200" max="7200" width="11.42578125" style="56" bestFit="1" customWidth="1"/>
    <col min="7201" max="7207" width="10.7109375" style="56"/>
    <col min="7208" max="7213" width="10.7109375" style="56" customWidth="1"/>
    <col min="7214" max="7410" width="10.7109375" style="56"/>
    <col min="7411" max="7411" width="16.85546875" style="56" customWidth="1"/>
    <col min="7412" max="7412" width="8.85546875" style="56" customWidth="1"/>
    <col min="7413" max="7413" width="13.7109375" style="56" customWidth="1"/>
    <col min="7414" max="7414" width="13.42578125" style="56" customWidth="1"/>
    <col min="7415" max="7415" width="12.42578125" style="56" customWidth="1"/>
    <col min="7416" max="7416" width="11.7109375" style="56" customWidth="1"/>
    <col min="7417" max="7417" width="12.7109375" style="56" customWidth="1"/>
    <col min="7418" max="7420" width="12.42578125" style="56" customWidth="1"/>
    <col min="7421" max="7421" width="13.42578125" style="56" customWidth="1"/>
    <col min="7422" max="7424" width="11" style="56" customWidth="1"/>
    <col min="7425" max="7425" width="12" style="56" customWidth="1"/>
    <col min="7426" max="7426" width="12.42578125" style="56" customWidth="1"/>
    <col min="7427" max="7427" width="11.85546875" style="56" customWidth="1"/>
    <col min="7428" max="7428" width="11.7109375" style="56" customWidth="1"/>
    <col min="7429" max="7429" width="12.28515625" style="56" customWidth="1"/>
    <col min="7430" max="7430" width="12.42578125" style="56" customWidth="1"/>
    <col min="7431" max="7433" width="11.7109375" style="56" customWidth="1"/>
    <col min="7434" max="7436" width="10.85546875" style="56" customWidth="1"/>
    <col min="7437" max="7437" width="10.7109375" style="56" customWidth="1"/>
    <col min="7438" max="7439" width="11.7109375" style="56" customWidth="1"/>
    <col min="7440" max="7440" width="10.140625" style="56" customWidth="1"/>
    <col min="7441" max="7441" width="11.140625" style="56" customWidth="1"/>
    <col min="7442" max="7442" width="11" style="56" customWidth="1"/>
    <col min="7443" max="7447" width="11.7109375" style="56" customWidth="1"/>
    <col min="7448" max="7451" width="10.7109375" style="56"/>
    <col min="7452" max="7452" width="13.42578125" style="56" customWidth="1"/>
    <col min="7453" max="7453" width="12.42578125" style="56" bestFit="1" customWidth="1"/>
    <col min="7454" max="7454" width="11.7109375" style="56" customWidth="1"/>
    <col min="7455" max="7455" width="14.140625" style="56" bestFit="1" customWidth="1"/>
    <col min="7456" max="7456" width="11.42578125" style="56" bestFit="1" customWidth="1"/>
    <col min="7457" max="7463" width="10.7109375" style="56"/>
    <col min="7464" max="7469" width="10.7109375" style="56" customWidth="1"/>
    <col min="7470" max="7666" width="10.7109375" style="56"/>
    <col min="7667" max="7667" width="16.85546875" style="56" customWidth="1"/>
    <col min="7668" max="7668" width="8.85546875" style="56" customWidth="1"/>
    <col min="7669" max="7669" width="13.7109375" style="56" customWidth="1"/>
    <col min="7670" max="7670" width="13.42578125" style="56" customWidth="1"/>
    <col min="7671" max="7671" width="12.42578125" style="56" customWidth="1"/>
    <col min="7672" max="7672" width="11.7109375" style="56" customWidth="1"/>
    <col min="7673" max="7673" width="12.7109375" style="56" customWidth="1"/>
    <col min="7674" max="7676" width="12.42578125" style="56" customWidth="1"/>
    <col min="7677" max="7677" width="13.42578125" style="56" customWidth="1"/>
    <col min="7678" max="7680" width="11" style="56" customWidth="1"/>
    <col min="7681" max="7681" width="12" style="56" customWidth="1"/>
    <col min="7682" max="7682" width="12.42578125" style="56" customWidth="1"/>
    <col min="7683" max="7683" width="11.85546875" style="56" customWidth="1"/>
    <col min="7684" max="7684" width="11.7109375" style="56" customWidth="1"/>
    <col min="7685" max="7685" width="12.28515625" style="56" customWidth="1"/>
    <col min="7686" max="7686" width="12.42578125" style="56" customWidth="1"/>
    <col min="7687" max="7689" width="11.7109375" style="56" customWidth="1"/>
    <col min="7690" max="7692" width="10.85546875" style="56" customWidth="1"/>
    <col min="7693" max="7693" width="10.7109375" style="56" customWidth="1"/>
    <col min="7694" max="7695" width="11.7109375" style="56" customWidth="1"/>
    <col min="7696" max="7696" width="10.140625" style="56" customWidth="1"/>
    <col min="7697" max="7697" width="11.140625" style="56" customWidth="1"/>
    <col min="7698" max="7698" width="11" style="56" customWidth="1"/>
    <col min="7699" max="7703" width="11.7109375" style="56" customWidth="1"/>
    <col min="7704" max="7707" width="10.7109375" style="56"/>
    <col min="7708" max="7708" width="13.42578125" style="56" customWidth="1"/>
    <col min="7709" max="7709" width="12.42578125" style="56" bestFit="1" customWidth="1"/>
    <col min="7710" max="7710" width="11.7109375" style="56" customWidth="1"/>
    <col min="7711" max="7711" width="14.140625" style="56" bestFit="1" customWidth="1"/>
    <col min="7712" max="7712" width="11.42578125" style="56" bestFit="1" customWidth="1"/>
    <col min="7713" max="7719" width="10.7109375" style="56"/>
    <col min="7720" max="7725" width="10.7109375" style="56" customWidth="1"/>
    <col min="7726" max="7922" width="10.7109375" style="56"/>
    <col min="7923" max="7923" width="16.85546875" style="56" customWidth="1"/>
    <col min="7924" max="7924" width="8.85546875" style="56" customWidth="1"/>
    <col min="7925" max="7925" width="13.7109375" style="56" customWidth="1"/>
    <col min="7926" max="7926" width="13.42578125" style="56" customWidth="1"/>
    <col min="7927" max="7927" width="12.42578125" style="56" customWidth="1"/>
    <col min="7928" max="7928" width="11.7109375" style="56" customWidth="1"/>
    <col min="7929" max="7929" width="12.7109375" style="56" customWidth="1"/>
    <col min="7930" max="7932" width="12.42578125" style="56" customWidth="1"/>
    <col min="7933" max="7933" width="13.42578125" style="56" customWidth="1"/>
    <col min="7934" max="7936" width="11" style="56" customWidth="1"/>
    <col min="7937" max="7937" width="12" style="56" customWidth="1"/>
    <col min="7938" max="7938" width="12.42578125" style="56" customWidth="1"/>
    <col min="7939" max="7939" width="11.85546875" style="56" customWidth="1"/>
    <col min="7940" max="7940" width="11.7109375" style="56" customWidth="1"/>
    <col min="7941" max="7941" width="12.28515625" style="56" customWidth="1"/>
    <col min="7942" max="7942" width="12.42578125" style="56" customWidth="1"/>
    <col min="7943" max="7945" width="11.7109375" style="56" customWidth="1"/>
    <col min="7946" max="7948" width="10.85546875" style="56" customWidth="1"/>
    <col min="7949" max="7949" width="10.7109375" style="56" customWidth="1"/>
    <col min="7950" max="7951" width="11.7109375" style="56" customWidth="1"/>
    <col min="7952" max="7952" width="10.140625" style="56" customWidth="1"/>
    <col min="7953" max="7953" width="11.140625" style="56" customWidth="1"/>
    <col min="7954" max="7954" width="11" style="56" customWidth="1"/>
    <col min="7955" max="7959" width="11.7109375" style="56" customWidth="1"/>
    <col min="7960" max="7963" width="10.7109375" style="56"/>
    <col min="7964" max="7964" width="13.42578125" style="56" customWidth="1"/>
    <col min="7965" max="7965" width="12.42578125" style="56" bestFit="1" customWidth="1"/>
    <col min="7966" max="7966" width="11.7109375" style="56" customWidth="1"/>
    <col min="7967" max="7967" width="14.140625" style="56" bestFit="1" customWidth="1"/>
    <col min="7968" max="7968" width="11.42578125" style="56" bestFit="1" customWidth="1"/>
    <col min="7969" max="7975" width="10.7109375" style="56"/>
    <col min="7976" max="7981" width="10.7109375" style="56" customWidth="1"/>
    <col min="7982" max="8178" width="10.7109375" style="56"/>
    <col min="8179" max="8179" width="16.85546875" style="56" customWidth="1"/>
    <col min="8180" max="8180" width="8.85546875" style="56" customWidth="1"/>
    <col min="8181" max="8181" width="13.7109375" style="56" customWidth="1"/>
    <col min="8182" max="8182" width="13.42578125" style="56" customWidth="1"/>
    <col min="8183" max="8183" width="12.42578125" style="56" customWidth="1"/>
    <col min="8184" max="8184" width="11.7109375" style="56" customWidth="1"/>
    <col min="8185" max="8185" width="12.7109375" style="56" customWidth="1"/>
    <col min="8186" max="8188" width="12.42578125" style="56" customWidth="1"/>
    <col min="8189" max="8189" width="13.42578125" style="56" customWidth="1"/>
    <col min="8190" max="8192" width="11" style="56" customWidth="1"/>
    <col min="8193" max="8193" width="12" style="56" customWidth="1"/>
    <col min="8194" max="8194" width="12.42578125" style="56" customWidth="1"/>
    <col min="8195" max="8195" width="11.85546875" style="56" customWidth="1"/>
    <col min="8196" max="8196" width="11.7109375" style="56" customWidth="1"/>
    <col min="8197" max="8197" width="12.28515625" style="56" customWidth="1"/>
    <col min="8198" max="8198" width="12.42578125" style="56" customWidth="1"/>
    <col min="8199" max="8201" width="11.7109375" style="56" customWidth="1"/>
    <col min="8202" max="8204" width="10.85546875" style="56" customWidth="1"/>
    <col min="8205" max="8205" width="10.7109375" style="56" customWidth="1"/>
    <col min="8206" max="8207" width="11.7109375" style="56" customWidth="1"/>
    <col min="8208" max="8208" width="10.140625" style="56" customWidth="1"/>
    <col min="8209" max="8209" width="11.140625" style="56" customWidth="1"/>
    <col min="8210" max="8210" width="11" style="56" customWidth="1"/>
    <col min="8211" max="8215" width="11.7109375" style="56" customWidth="1"/>
    <col min="8216" max="8219" width="10.7109375" style="56"/>
    <col min="8220" max="8220" width="13.42578125" style="56" customWidth="1"/>
    <col min="8221" max="8221" width="12.42578125" style="56" bestFit="1" customWidth="1"/>
    <col min="8222" max="8222" width="11.7109375" style="56" customWidth="1"/>
    <col min="8223" max="8223" width="14.140625" style="56" bestFit="1" customWidth="1"/>
    <col min="8224" max="8224" width="11.42578125" style="56" bestFit="1" customWidth="1"/>
    <col min="8225" max="8231" width="10.7109375" style="56"/>
    <col min="8232" max="8237" width="10.7109375" style="56" customWidth="1"/>
    <col min="8238" max="8434" width="10.7109375" style="56"/>
    <col min="8435" max="8435" width="16.85546875" style="56" customWidth="1"/>
    <col min="8436" max="8436" width="8.85546875" style="56" customWidth="1"/>
    <col min="8437" max="8437" width="13.7109375" style="56" customWidth="1"/>
    <col min="8438" max="8438" width="13.42578125" style="56" customWidth="1"/>
    <col min="8439" max="8439" width="12.42578125" style="56" customWidth="1"/>
    <col min="8440" max="8440" width="11.7109375" style="56" customWidth="1"/>
    <col min="8441" max="8441" width="12.7109375" style="56" customWidth="1"/>
    <col min="8442" max="8444" width="12.42578125" style="56" customWidth="1"/>
    <col min="8445" max="8445" width="13.42578125" style="56" customWidth="1"/>
    <col min="8446" max="8448" width="11" style="56" customWidth="1"/>
    <col min="8449" max="8449" width="12" style="56" customWidth="1"/>
    <col min="8450" max="8450" width="12.42578125" style="56" customWidth="1"/>
    <col min="8451" max="8451" width="11.85546875" style="56" customWidth="1"/>
    <col min="8452" max="8452" width="11.7109375" style="56" customWidth="1"/>
    <col min="8453" max="8453" width="12.28515625" style="56" customWidth="1"/>
    <col min="8454" max="8454" width="12.42578125" style="56" customWidth="1"/>
    <col min="8455" max="8457" width="11.7109375" style="56" customWidth="1"/>
    <col min="8458" max="8460" width="10.85546875" style="56" customWidth="1"/>
    <col min="8461" max="8461" width="10.7109375" style="56" customWidth="1"/>
    <col min="8462" max="8463" width="11.7109375" style="56" customWidth="1"/>
    <col min="8464" max="8464" width="10.140625" style="56" customWidth="1"/>
    <col min="8465" max="8465" width="11.140625" style="56" customWidth="1"/>
    <col min="8466" max="8466" width="11" style="56" customWidth="1"/>
    <col min="8467" max="8471" width="11.7109375" style="56" customWidth="1"/>
    <col min="8472" max="8475" width="10.7109375" style="56"/>
    <col min="8476" max="8476" width="13.42578125" style="56" customWidth="1"/>
    <col min="8477" max="8477" width="12.42578125" style="56" bestFit="1" customWidth="1"/>
    <col min="8478" max="8478" width="11.7109375" style="56" customWidth="1"/>
    <col min="8479" max="8479" width="14.140625" style="56" bestFit="1" customWidth="1"/>
    <col min="8480" max="8480" width="11.42578125" style="56" bestFit="1" customWidth="1"/>
    <col min="8481" max="8487" width="10.7109375" style="56"/>
    <col min="8488" max="8493" width="10.7109375" style="56" customWidth="1"/>
    <col min="8494" max="8690" width="10.7109375" style="56"/>
    <col min="8691" max="8691" width="16.85546875" style="56" customWidth="1"/>
    <col min="8692" max="8692" width="8.85546875" style="56" customWidth="1"/>
    <col min="8693" max="8693" width="13.7109375" style="56" customWidth="1"/>
    <col min="8694" max="8694" width="13.42578125" style="56" customWidth="1"/>
    <col min="8695" max="8695" width="12.42578125" style="56" customWidth="1"/>
    <col min="8696" max="8696" width="11.7109375" style="56" customWidth="1"/>
    <col min="8697" max="8697" width="12.7109375" style="56" customWidth="1"/>
    <col min="8698" max="8700" width="12.42578125" style="56" customWidth="1"/>
    <col min="8701" max="8701" width="13.42578125" style="56" customWidth="1"/>
    <col min="8702" max="8704" width="11" style="56" customWidth="1"/>
    <col min="8705" max="8705" width="12" style="56" customWidth="1"/>
    <col min="8706" max="8706" width="12.42578125" style="56" customWidth="1"/>
    <col min="8707" max="8707" width="11.85546875" style="56" customWidth="1"/>
    <col min="8708" max="8708" width="11.7109375" style="56" customWidth="1"/>
    <col min="8709" max="8709" width="12.28515625" style="56" customWidth="1"/>
    <col min="8710" max="8710" width="12.42578125" style="56" customWidth="1"/>
    <col min="8711" max="8713" width="11.7109375" style="56" customWidth="1"/>
    <col min="8714" max="8716" width="10.85546875" style="56" customWidth="1"/>
    <col min="8717" max="8717" width="10.7109375" style="56" customWidth="1"/>
    <col min="8718" max="8719" width="11.7109375" style="56" customWidth="1"/>
    <col min="8720" max="8720" width="10.140625" style="56" customWidth="1"/>
    <col min="8721" max="8721" width="11.140625" style="56" customWidth="1"/>
    <col min="8722" max="8722" width="11" style="56" customWidth="1"/>
    <col min="8723" max="8727" width="11.7109375" style="56" customWidth="1"/>
    <col min="8728" max="8731" width="10.7109375" style="56"/>
    <col min="8732" max="8732" width="13.42578125" style="56" customWidth="1"/>
    <col min="8733" max="8733" width="12.42578125" style="56" bestFit="1" customWidth="1"/>
    <col min="8734" max="8734" width="11.7109375" style="56" customWidth="1"/>
    <col min="8735" max="8735" width="14.140625" style="56" bestFit="1" customWidth="1"/>
    <col min="8736" max="8736" width="11.42578125" style="56" bestFit="1" customWidth="1"/>
    <col min="8737" max="8743" width="10.7109375" style="56"/>
    <col min="8744" max="8749" width="10.7109375" style="56" customWidth="1"/>
    <col min="8750" max="8946" width="10.7109375" style="56"/>
    <col min="8947" max="8947" width="16.85546875" style="56" customWidth="1"/>
    <col min="8948" max="8948" width="8.85546875" style="56" customWidth="1"/>
    <col min="8949" max="8949" width="13.7109375" style="56" customWidth="1"/>
    <col min="8950" max="8950" width="13.42578125" style="56" customWidth="1"/>
    <col min="8951" max="8951" width="12.42578125" style="56" customWidth="1"/>
    <col min="8952" max="8952" width="11.7109375" style="56" customWidth="1"/>
    <col min="8953" max="8953" width="12.7109375" style="56" customWidth="1"/>
    <col min="8954" max="8956" width="12.42578125" style="56" customWidth="1"/>
    <col min="8957" max="8957" width="13.42578125" style="56" customWidth="1"/>
    <col min="8958" max="8960" width="11" style="56" customWidth="1"/>
    <col min="8961" max="8961" width="12" style="56" customWidth="1"/>
    <col min="8962" max="8962" width="12.42578125" style="56" customWidth="1"/>
    <col min="8963" max="8963" width="11.85546875" style="56" customWidth="1"/>
    <col min="8964" max="8964" width="11.7109375" style="56" customWidth="1"/>
    <col min="8965" max="8965" width="12.28515625" style="56" customWidth="1"/>
    <col min="8966" max="8966" width="12.42578125" style="56" customWidth="1"/>
    <col min="8967" max="8969" width="11.7109375" style="56" customWidth="1"/>
    <col min="8970" max="8972" width="10.85546875" style="56" customWidth="1"/>
    <col min="8973" max="8973" width="10.7109375" style="56" customWidth="1"/>
    <col min="8974" max="8975" width="11.7109375" style="56" customWidth="1"/>
    <col min="8976" max="8976" width="10.140625" style="56" customWidth="1"/>
    <col min="8977" max="8977" width="11.140625" style="56" customWidth="1"/>
    <col min="8978" max="8978" width="11" style="56" customWidth="1"/>
    <col min="8979" max="8983" width="11.7109375" style="56" customWidth="1"/>
    <col min="8984" max="8987" width="10.7109375" style="56"/>
    <col min="8988" max="8988" width="13.42578125" style="56" customWidth="1"/>
    <col min="8989" max="8989" width="12.42578125" style="56" bestFit="1" customWidth="1"/>
    <col min="8990" max="8990" width="11.7109375" style="56" customWidth="1"/>
    <col min="8991" max="8991" width="14.140625" style="56" bestFit="1" customWidth="1"/>
    <col min="8992" max="8992" width="11.42578125" style="56" bestFit="1" customWidth="1"/>
    <col min="8993" max="8999" width="10.7109375" style="56"/>
    <col min="9000" max="9005" width="10.7109375" style="56" customWidth="1"/>
    <col min="9006" max="9202" width="10.7109375" style="56"/>
    <col min="9203" max="9203" width="16.85546875" style="56" customWidth="1"/>
    <col min="9204" max="9204" width="8.85546875" style="56" customWidth="1"/>
    <col min="9205" max="9205" width="13.7109375" style="56" customWidth="1"/>
    <col min="9206" max="9206" width="13.42578125" style="56" customWidth="1"/>
    <col min="9207" max="9207" width="12.42578125" style="56" customWidth="1"/>
    <col min="9208" max="9208" width="11.7109375" style="56" customWidth="1"/>
    <col min="9209" max="9209" width="12.7109375" style="56" customWidth="1"/>
    <col min="9210" max="9212" width="12.42578125" style="56" customWidth="1"/>
    <col min="9213" max="9213" width="13.42578125" style="56" customWidth="1"/>
    <col min="9214" max="9216" width="11" style="56" customWidth="1"/>
    <col min="9217" max="9217" width="12" style="56" customWidth="1"/>
    <col min="9218" max="9218" width="12.42578125" style="56" customWidth="1"/>
    <col min="9219" max="9219" width="11.85546875" style="56" customWidth="1"/>
    <col min="9220" max="9220" width="11.7109375" style="56" customWidth="1"/>
    <col min="9221" max="9221" width="12.28515625" style="56" customWidth="1"/>
    <col min="9222" max="9222" width="12.42578125" style="56" customWidth="1"/>
    <col min="9223" max="9225" width="11.7109375" style="56" customWidth="1"/>
    <col min="9226" max="9228" width="10.85546875" style="56" customWidth="1"/>
    <col min="9229" max="9229" width="10.7109375" style="56" customWidth="1"/>
    <col min="9230" max="9231" width="11.7109375" style="56" customWidth="1"/>
    <col min="9232" max="9232" width="10.140625" style="56" customWidth="1"/>
    <col min="9233" max="9233" width="11.140625" style="56" customWidth="1"/>
    <col min="9234" max="9234" width="11" style="56" customWidth="1"/>
    <col min="9235" max="9239" width="11.7109375" style="56" customWidth="1"/>
    <col min="9240" max="9243" width="10.7109375" style="56"/>
    <col min="9244" max="9244" width="13.42578125" style="56" customWidth="1"/>
    <col min="9245" max="9245" width="12.42578125" style="56" bestFit="1" customWidth="1"/>
    <col min="9246" max="9246" width="11.7109375" style="56" customWidth="1"/>
    <col min="9247" max="9247" width="14.140625" style="56" bestFit="1" customWidth="1"/>
    <col min="9248" max="9248" width="11.42578125" style="56" bestFit="1" customWidth="1"/>
    <col min="9249" max="9255" width="10.7109375" style="56"/>
    <col min="9256" max="9261" width="10.7109375" style="56" customWidth="1"/>
    <col min="9262" max="9458" width="10.7109375" style="56"/>
    <col min="9459" max="9459" width="16.85546875" style="56" customWidth="1"/>
    <col min="9460" max="9460" width="8.85546875" style="56" customWidth="1"/>
    <col min="9461" max="9461" width="13.7109375" style="56" customWidth="1"/>
    <col min="9462" max="9462" width="13.42578125" style="56" customWidth="1"/>
    <col min="9463" max="9463" width="12.42578125" style="56" customWidth="1"/>
    <col min="9464" max="9464" width="11.7109375" style="56" customWidth="1"/>
    <col min="9465" max="9465" width="12.7109375" style="56" customWidth="1"/>
    <col min="9466" max="9468" width="12.42578125" style="56" customWidth="1"/>
    <col min="9469" max="9469" width="13.42578125" style="56" customWidth="1"/>
    <col min="9470" max="9472" width="11" style="56" customWidth="1"/>
    <col min="9473" max="9473" width="12" style="56" customWidth="1"/>
    <col min="9474" max="9474" width="12.42578125" style="56" customWidth="1"/>
    <col min="9475" max="9475" width="11.85546875" style="56" customWidth="1"/>
    <col min="9476" max="9476" width="11.7109375" style="56" customWidth="1"/>
    <col min="9477" max="9477" width="12.28515625" style="56" customWidth="1"/>
    <col min="9478" max="9478" width="12.42578125" style="56" customWidth="1"/>
    <col min="9479" max="9481" width="11.7109375" style="56" customWidth="1"/>
    <col min="9482" max="9484" width="10.85546875" style="56" customWidth="1"/>
    <col min="9485" max="9485" width="10.7109375" style="56" customWidth="1"/>
    <col min="9486" max="9487" width="11.7109375" style="56" customWidth="1"/>
    <col min="9488" max="9488" width="10.140625" style="56" customWidth="1"/>
    <col min="9489" max="9489" width="11.140625" style="56" customWidth="1"/>
    <col min="9490" max="9490" width="11" style="56" customWidth="1"/>
    <col min="9491" max="9495" width="11.7109375" style="56" customWidth="1"/>
    <col min="9496" max="9499" width="10.7109375" style="56"/>
    <col min="9500" max="9500" width="13.42578125" style="56" customWidth="1"/>
    <col min="9501" max="9501" width="12.42578125" style="56" bestFit="1" customWidth="1"/>
    <col min="9502" max="9502" width="11.7109375" style="56" customWidth="1"/>
    <col min="9503" max="9503" width="14.140625" style="56" bestFit="1" customWidth="1"/>
    <col min="9504" max="9504" width="11.42578125" style="56" bestFit="1" customWidth="1"/>
    <col min="9505" max="9511" width="10.7109375" style="56"/>
    <col min="9512" max="9517" width="10.7109375" style="56" customWidth="1"/>
    <col min="9518" max="9714" width="10.7109375" style="56"/>
    <col min="9715" max="9715" width="16.85546875" style="56" customWidth="1"/>
    <col min="9716" max="9716" width="8.85546875" style="56" customWidth="1"/>
    <col min="9717" max="9717" width="13.7109375" style="56" customWidth="1"/>
    <col min="9718" max="9718" width="13.42578125" style="56" customWidth="1"/>
    <col min="9719" max="9719" width="12.42578125" style="56" customWidth="1"/>
    <col min="9720" max="9720" width="11.7109375" style="56" customWidth="1"/>
    <col min="9721" max="9721" width="12.7109375" style="56" customWidth="1"/>
    <col min="9722" max="9724" width="12.42578125" style="56" customWidth="1"/>
    <col min="9725" max="9725" width="13.42578125" style="56" customWidth="1"/>
    <col min="9726" max="9728" width="11" style="56" customWidth="1"/>
    <col min="9729" max="9729" width="12" style="56" customWidth="1"/>
    <col min="9730" max="9730" width="12.42578125" style="56" customWidth="1"/>
    <col min="9731" max="9731" width="11.85546875" style="56" customWidth="1"/>
    <col min="9732" max="9732" width="11.7109375" style="56" customWidth="1"/>
    <col min="9733" max="9733" width="12.28515625" style="56" customWidth="1"/>
    <col min="9734" max="9734" width="12.42578125" style="56" customWidth="1"/>
    <col min="9735" max="9737" width="11.7109375" style="56" customWidth="1"/>
    <col min="9738" max="9740" width="10.85546875" style="56" customWidth="1"/>
    <col min="9741" max="9741" width="10.7109375" style="56" customWidth="1"/>
    <col min="9742" max="9743" width="11.7109375" style="56" customWidth="1"/>
    <col min="9744" max="9744" width="10.140625" style="56" customWidth="1"/>
    <col min="9745" max="9745" width="11.140625" style="56" customWidth="1"/>
    <col min="9746" max="9746" width="11" style="56" customWidth="1"/>
    <col min="9747" max="9751" width="11.7109375" style="56" customWidth="1"/>
    <col min="9752" max="9755" width="10.7109375" style="56"/>
    <col min="9756" max="9756" width="13.42578125" style="56" customWidth="1"/>
    <col min="9757" max="9757" width="12.42578125" style="56" bestFit="1" customWidth="1"/>
    <col min="9758" max="9758" width="11.7109375" style="56" customWidth="1"/>
    <col min="9759" max="9759" width="14.140625" style="56" bestFit="1" customWidth="1"/>
    <col min="9760" max="9760" width="11.42578125" style="56" bestFit="1" customWidth="1"/>
    <col min="9761" max="9767" width="10.7109375" style="56"/>
    <col min="9768" max="9773" width="10.7109375" style="56" customWidth="1"/>
    <col min="9774" max="9970" width="10.7109375" style="56"/>
    <col min="9971" max="9971" width="16.85546875" style="56" customWidth="1"/>
    <col min="9972" max="9972" width="8.85546875" style="56" customWidth="1"/>
    <col min="9973" max="9973" width="13.7109375" style="56" customWidth="1"/>
    <col min="9974" max="9974" width="13.42578125" style="56" customWidth="1"/>
    <col min="9975" max="9975" width="12.42578125" style="56" customWidth="1"/>
    <col min="9976" max="9976" width="11.7109375" style="56" customWidth="1"/>
    <col min="9977" max="9977" width="12.7109375" style="56" customWidth="1"/>
    <col min="9978" max="9980" width="12.42578125" style="56" customWidth="1"/>
    <col min="9981" max="9981" width="13.42578125" style="56" customWidth="1"/>
    <col min="9982" max="9984" width="11" style="56" customWidth="1"/>
    <col min="9985" max="9985" width="12" style="56" customWidth="1"/>
    <col min="9986" max="9986" width="12.42578125" style="56" customWidth="1"/>
    <col min="9987" max="9987" width="11.85546875" style="56" customWidth="1"/>
    <col min="9988" max="9988" width="11.7109375" style="56" customWidth="1"/>
    <col min="9989" max="9989" width="12.28515625" style="56" customWidth="1"/>
    <col min="9990" max="9990" width="12.42578125" style="56" customWidth="1"/>
    <col min="9991" max="9993" width="11.7109375" style="56" customWidth="1"/>
    <col min="9994" max="9996" width="10.85546875" style="56" customWidth="1"/>
    <col min="9997" max="9997" width="10.7109375" style="56" customWidth="1"/>
    <col min="9998" max="9999" width="11.7109375" style="56" customWidth="1"/>
    <col min="10000" max="10000" width="10.140625" style="56" customWidth="1"/>
    <col min="10001" max="10001" width="11.140625" style="56" customWidth="1"/>
    <col min="10002" max="10002" width="11" style="56" customWidth="1"/>
    <col min="10003" max="10007" width="11.7109375" style="56" customWidth="1"/>
    <col min="10008" max="10011" width="10.7109375" style="56"/>
    <col min="10012" max="10012" width="13.42578125" style="56" customWidth="1"/>
    <col min="10013" max="10013" width="12.42578125" style="56" bestFit="1" customWidth="1"/>
    <col min="10014" max="10014" width="11.7109375" style="56" customWidth="1"/>
    <col min="10015" max="10015" width="14.140625" style="56" bestFit="1" customWidth="1"/>
    <col min="10016" max="10016" width="11.42578125" style="56" bestFit="1" customWidth="1"/>
    <col min="10017" max="10023" width="10.7109375" style="56"/>
    <col min="10024" max="10029" width="10.7109375" style="56" customWidth="1"/>
    <col min="10030" max="10226" width="10.7109375" style="56"/>
    <col min="10227" max="10227" width="16.85546875" style="56" customWidth="1"/>
    <col min="10228" max="10228" width="8.85546875" style="56" customWidth="1"/>
    <col min="10229" max="10229" width="13.7109375" style="56" customWidth="1"/>
    <col min="10230" max="10230" width="13.42578125" style="56" customWidth="1"/>
    <col min="10231" max="10231" width="12.42578125" style="56" customWidth="1"/>
    <col min="10232" max="10232" width="11.7109375" style="56" customWidth="1"/>
    <col min="10233" max="10233" width="12.7109375" style="56" customWidth="1"/>
    <col min="10234" max="10236" width="12.42578125" style="56" customWidth="1"/>
    <col min="10237" max="10237" width="13.42578125" style="56" customWidth="1"/>
    <col min="10238" max="10240" width="11" style="56" customWidth="1"/>
    <col min="10241" max="10241" width="12" style="56" customWidth="1"/>
    <col min="10242" max="10242" width="12.42578125" style="56" customWidth="1"/>
    <col min="10243" max="10243" width="11.85546875" style="56" customWidth="1"/>
    <col min="10244" max="10244" width="11.7109375" style="56" customWidth="1"/>
    <col min="10245" max="10245" width="12.28515625" style="56" customWidth="1"/>
    <col min="10246" max="10246" width="12.42578125" style="56" customWidth="1"/>
    <col min="10247" max="10249" width="11.7109375" style="56" customWidth="1"/>
    <col min="10250" max="10252" width="10.85546875" style="56" customWidth="1"/>
    <col min="10253" max="10253" width="10.7109375" style="56" customWidth="1"/>
    <col min="10254" max="10255" width="11.7109375" style="56" customWidth="1"/>
    <col min="10256" max="10256" width="10.140625" style="56" customWidth="1"/>
    <col min="10257" max="10257" width="11.140625" style="56" customWidth="1"/>
    <col min="10258" max="10258" width="11" style="56" customWidth="1"/>
    <col min="10259" max="10263" width="11.7109375" style="56" customWidth="1"/>
    <col min="10264" max="10267" width="10.7109375" style="56"/>
    <col min="10268" max="10268" width="13.42578125" style="56" customWidth="1"/>
    <col min="10269" max="10269" width="12.42578125" style="56" bestFit="1" customWidth="1"/>
    <col min="10270" max="10270" width="11.7109375" style="56" customWidth="1"/>
    <col min="10271" max="10271" width="14.140625" style="56" bestFit="1" customWidth="1"/>
    <col min="10272" max="10272" width="11.42578125" style="56" bestFit="1" customWidth="1"/>
    <col min="10273" max="10279" width="10.7109375" style="56"/>
    <col min="10280" max="10285" width="10.7109375" style="56" customWidth="1"/>
    <col min="10286" max="10482" width="10.7109375" style="56"/>
    <col min="10483" max="10483" width="16.85546875" style="56" customWidth="1"/>
    <col min="10484" max="10484" width="8.85546875" style="56" customWidth="1"/>
    <col min="10485" max="10485" width="13.7109375" style="56" customWidth="1"/>
    <col min="10486" max="10486" width="13.42578125" style="56" customWidth="1"/>
    <col min="10487" max="10487" width="12.42578125" style="56" customWidth="1"/>
    <col min="10488" max="10488" width="11.7109375" style="56" customWidth="1"/>
    <col min="10489" max="10489" width="12.7109375" style="56" customWidth="1"/>
    <col min="10490" max="10492" width="12.42578125" style="56" customWidth="1"/>
    <col min="10493" max="10493" width="13.42578125" style="56" customWidth="1"/>
    <col min="10494" max="10496" width="11" style="56" customWidth="1"/>
    <col min="10497" max="10497" width="12" style="56" customWidth="1"/>
    <col min="10498" max="10498" width="12.42578125" style="56" customWidth="1"/>
    <col min="10499" max="10499" width="11.85546875" style="56" customWidth="1"/>
    <col min="10500" max="10500" width="11.7109375" style="56" customWidth="1"/>
    <col min="10501" max="10501" width="12.28515625" style="56" customWidth="1"/>
    <col min="10502" max="10502" width="12.42578125" style="56" customWidth="1"/>
    <col min="10503" max="10505" width="11.7109375" style="56" customWidth="1"/>
    <col min="10506" max="10508" width="10.85546875" style="56" customWidth="1"/>
    <col min="10509" max="10509" width="10.7109375" style="56" customWidth="1"/>
    <col min="10510" max="10511" width="11.7109375" style="56" customWidth="1"/>
    <col min="10512" max="10512" width="10.140625" style="56" customWidth="1"/>
    <col min="10513" max="10513" width="11.140625" style="56" customWidth="1"/>
    <col min="10514" max="10514" width="11" style="56" customWidth="1"/>
    <col min="10515" max="10519" width="11.7109375" style="56" customWidth="1"/>
    <col min="10520" max="10523" width="10.7109375" style="56"/>
    <col min="10524" max="10524" width="13.42578125" style="56" customWidth="1"/>
    <col min="10525" max="10525" width="12.42578125" style="56" bestFit="1" customWidth="1"/>
    <col min="10526" max="10526" width="11.7109375" style="56" customWidth="1"/>
    <col min="10527" max="10527" width="14.140625" style="56" bestFit="1" customWidth="1"/>
    <col min="10528" max="10528" width="11.42578125" style="56" bestFit="1" customWidth="1"/>
    <col min="10529" max="10535" width="10.7109375" style="56"/>
    <col min="10536" max="10541" width="10.7109375" style="56" customWidth="1"/>
    <col min="10542" max="10738" width="10.7109375" style="56"/>
    <col min="10739" max="10739" width="16.85546875" style="56" customWidth="1"/>
    <col min="10740" max="10740" width="8.85546875" style="56" customWidth="1"/>
    <col min="10741" max="10741" width="13.7109375" style="56" customWidth="1"/>
    <col min="10742" max="10742" width="13.42578125" style="56" customWidth="1"/>
    <col min="10743" max="10743" width="12.42578125" style="56" customWidth="1"/>
    <col min="10744" max="10744" width="11.7109375" style="56" customWidth="1"/>
    <col min="10745" max="10745" width="12.7109375" style="56" customWidth="1"/>
    <col min="10746" max="10748" width="12.42578125" style="56" customWidth="1"/>
    <col min="10749" max="10749" width="13.42578125" style="56" customWidth="1"/>
    <col min="10750" max="10752" width="11" style="56" customWidth="1"/>
    <col min="10753" max="10753" width="12" style="56" customWidth="1"/>
    <col min="10754" max="10754" width="12.42578125" style="56" customWidth="1"/>
    <col min="10755" max="10755" width="11.85546875" style="56" customWidth="1"/>
    <col min="10756" max="10756" width="11.7109375" style="56" customWidth="1"/>
    <col min="10757" max="10757" width="12.28515625" style="56" customWidth="1"/>
    <col min="10758" max="10758" width="12.42578125" style="56" customWidth="1"/>
    <col min="10759" max="10761" width="11.7109375" style="56" customWidth="1"/>
    <col min="10762" max="10764" width="10.85546875" style="56" customWidth="1"/>
    <col min="10765" max="10765" width="10.7109375" style="56" customWidth="1"/>
    <col min="10766" max="10767" width="11.7109375" style="56" customWidth="1"/>
    <col min="10768" max="10768" width="10.140625" style="56" customWidth="1"/>
    <col min="10769" max="10769" width="11.140625" style="56" customWidth="1"/>
    <col min="10770" max="10770" width="11" style="56" customWidth="1"/>
    <col min="10771" max="10775" width="11.7109375" style="56" customWidth="1"/>
    <col min="10776" max="10779" width="10.7109375" style="56"/>
    <col min="10780" max="10780" width="13.42578125" style="56" customWidth="1"/>
    <col min="10781" max="10781" width="12.42578125" style="56" bestFit="1" customWidth="1"/>
    <col min="10782" max="10782" width="11.7109375" style="56" customWidth="1"/>
    <col min="10783" max="10783" width="14.140625" style="56" bestFit="1" customWidth="1"/>
    <col min="10784" max="10784" width="11.42578125" style="56" bestFit="1" customWidth="1"/>
    <col min="10785" max="10791" width="10.7109375" style="56"/>
    <col min="10792" max="10797" width="10.7109375" style="56" customWidth="1"/>
    <col min="10798" max="10994" width="10.7109375" style="56"/>
    <col min="10995" max="10995" width="16.85546875" style="56" customWidth="1"/>
    <col min="10996" max="10996" width="8.85546875" style="56" customWidth="1"/>
    <col min="10997" max="10997" width="13.7109375" style="56" customWidth="1"/>
    <col min="10998" max="10998" width="13.42578125" style="56" customWidth="1"/>
    <col min="10999" max="10999" width="12.42578125" style="56" customWidth="1"/>
    <col min="11000" max="11000" width="11.7109375" style="56" customWidth="1"/>
    <col min="11001" max="11001" width="12.7109375" style="56" customWidth="1"/>
    <col min="11002" max="11004" width="12.42578125" style="56" customWidth="1"/>
    <col min="11005" max="11005" width="13.42578125" style="56" customWidth="1"/>
    <col min="11006" max="11008" width="11" style="56" customWidth="1"/>
    <col min="11009" max="11009" width="12" style="56" customWidth="1"/>
    <col min="11010" max="11010" width="12.42578125" style="56" customWidth="1"/>
    <col min="11011" max="11011" width="11.85546875" style="56" customWidth="1"/>
    <col min="11012" max="11012" width="11.7109375" style="56" customWidth="1"/>
    <col min="11013" max="11013" width="12.28515625" style="56" customWidth="1"/>
    <col min="11014" max="11014" width="12.42578125" style="56" customWidth="1"/>
    <col min="11015" max="11017" width="11.7109375" style="56" customWidth="1"/>
    <col min="11018" max="11020" width="10.85546875" style="56" customWidth="1"/>
    <col min="11021" max="11021" width="10.7109375" style="56" customWidth="1"/>
    <col min="11022" max="11023" width="11.7109375" style="56" customWidth="1"/>
    <col min="11024" max="11024" width="10.140625" style="56" customWidth="1"/>
    <col min="11025" max="11025" width="11.140625" style="56" customWidth="1"/>
    <col min="11026" max="11026" width="11" style="56" customWidth="1"/>
    <col min="11027" max="11031" width="11.7109375" style="56" customWidth="1"/>
    <col min="11032" max="11035" width="10.7109375" style="56"/>
    <col min="11036" max="11036" width="13.42578125" style="56" customWidth="1"/>
    <col min="11037" max="11037" width="12.42578125" style="56" bestFit="1" customWidth="1"/>
    <col min="11038" max="11038" width="11.7109375" style="56" customWidth="1"/>
    <col min="11039" max="11039" width="14.140625" style="56" bestFit="1" customWidth="1"/>
    <col min="11040" max="11040" width="11.42578125" style="56" bestFit="1" customWidth="1"/>
    <col min="11041" max="11047" width="10.7109375" style="56"/>
    <col min="11048" max="11053" width="10.7109375" style="56" customWidth="1"/>
    <col min="11054" max="11250" width="10.7109375" style="56"/>
    <col min="11251" max="11251" width="16.85546875" style="56" customWidth="1"/>
    <col min="11252" max="11252" width="8.85546875" style="56" customWidth="1"/>
    <col min="11253" max="11253" width="13.7109375" style="56" customWidth="1"/>
    <col min="11254" max="11254" width="13.42578125" style="56" customWidth="1"/>
    <col min="11255" max="11255" width="12.42578125" style="56" customWidth="1"/>
    <col min="11256" max="11256" width="11.7109375" style="56" customWidth="1"/>
    <col min="11257" max="11257" width="12.7109375" style="56" customWidth="1"/>
    <col min="11258" max="11260" width="12.42578125" style="56" customWidth="1"/>
    <col min="11261" max="11261" width="13.42578125" style="56" customWidth="1"/>
    <col min="11262" max="11264" width="11" style="56" customWidth="1"/>
    <col min="11265" max="11265" width="12" style="56" customWidth="1"/>
    <col min="11266" max="11266" width="12.42578125" style="56" customWidth="1"/>
    <col min="11267" max="11267" width="11.85546875" style="56" customWidth="1"/>
    <col min="11268" max="11268" width="11.7109375" style="56" customWidth="1"/>
    <col min="11269" max="11269" width="12.28515625" style="56" customWidth="1"/>
    <col min="11270" max="11270" width="12.42578125" style="56" customWidth="1"/>
    <col min="11271" max="11273" width="11.7109375" style="56" customWidth="1"/>
    <col min="11274" max="11276" width="10.85546875" style="56" customWidth="1"/>
    <col min="11277" max="11277" width="10.7109375" style="56" customWidth="1"/>
    <col min="11278" max="11279" width="11.7109375" style="56" customWidth="1"/>
    <col min="11280" max="11280" width="10.140625" style="56" customWidth="1"/>
    <col min="11281" max="11281" width="11.140625" style="56" customWidth="1"/>
    <col min="11282" max="11282" width="11" style="56" customWidth="1"/>
    <col min="11283" max="11287" width="11.7109375" style="56" customWidth="1"/>
    <col min="11288" max="11291" width="10.7109375" style="56"/>
    <col min="11292" max="11292" width="13.42578125" style="56" customWidth="1"/>
    <col min="11293" max="11293" width="12.42578125" style="56" bestFit="1" customWidth="1"/>
    <col min="11294" max="11294" width="11.7109375" style="56" customWidth="1"/>
    <col min="11295" max="11295" width="14.140625" style="56" bestFit="1" customWidth="1"/>
    <col min="11296" max="11296" width="11.42578125" style="56" bestFit="1" customWidth="1"/>
    <col min="11297" max="11303" width="10.7109375" style="56"/>
    <col min="11304" max="11309" width="10.7109375" style="56" customWidth="1"/>
    <col min="11310" max="11506" width="10.7109375" style="56"/>
    <col min="11507" max="11507" width="16.85546875" style="56" customWidth="1"/>
    <col min="11508" max="11508" width="8.85546875" style="56" customWidth="1"/>
    <col min="11509" max="11509" width="13.7109375" style="56" customWidth="1"/>
    <col min="11510" max="11510" width="13.42578125" style="56" customWidth="1"/>
    <col min="11511" max="11511" width="12.42578125" style="56" customWidth="1"/>
    <col min="11512" max="11512" width="11.7109375" style="56" customWidth="1"/>
    <col min="11513" max="11513" width="12.7109375" style="56" customWidth="1"/>
    <col min="11514" max="11516" width="12.42578125" style="56" customWidth="1"/>
    <col min="11517" max="11517" width="13.42578125" style="56" customWidth="1"/>
    <col min="11518" max="11520" width="11" style="56" customWidth="1"/>
    <col min="11521" max="11521" width="12" style="56" customWidth="1"/>
    <col min="11522" max="11522" width="12.42578125" style="56" customWidth="1"/>
    <col min="11523" max="11523" width="11.85546875" style="56" customWidth="1"/>
    <col min="11524" max="11524" width="11.7109375" style="56" customWidth="1"/>
    <col min="11525" max="11525" width="12.28515625" style="56" customWidth="1"/>
    <col min="11526" max="11526" width="12.42578125" style="56" customWidth="1"/>
    <col min="11527" max="11529" width="11.7109375" style="56" customWidth="1"/>
    <col min="11530" max="11532" width="10.85546875" style="56" customWidth="1"/>
    <col min="11533" max="11533" width="10.7109375" style="56" customWidth="1"/>
    <col min="11534" max="11535" width="11.7109375" style="56" customWidth="1"/>
    <col min="11536" max="11536" width="10.140625" style="56" customWidth="1"/>
    <col min="11537" max="11537" width="11.140625" style="56" customWidth="1"/>
    <col min="11538" max="11538" width="11" style="56" customWidth="1"/>
    <col min="11539" max="11543" width="11.7109375" style="56" customWidth="1"/>
    <col min="11544" max="11547" width="10.7109375" style="56"/>
    <col min="11548" max="11548" width="13.42578125" style="56" customWidth="1"/>
    <col min="11549" max="11549" width="12.42578125" style="56" bestFit="1" customWidth="1"/>
    <col min="11550" max="11550" width="11.7109375" style="56" customWidth="1"/>
    <col min="11551" max="11551" width="14.140625" style="56" bestFit="1" customWidth="1"/>
    <col min="11552" max="11552" width="11.42578125" style="56" bestFit="1" customWidth="1"/>
    <col min="11553" max="11559" width="10.7109375" style="56"/>
    <col min="11560" max="11565" width="10.7109375" style="56" customWidth="1"/>
    <col min="11566" max="11762" width="10.7109375" style="56"/>
    <col min="11763" max="11763" width="16.85546875" style="56" customWidth="1"/>
    <col min="11764" max="11764" width="8.85546875" style="56" customWidth="1"/>
    <col min="11765" max="11765" width="13.7109375" style="56" customWidth="1"/>
    <col min="11766" max="11766" width="13.42578125" style="56" customWidth="1"/>
    <col min="11767" max="11767" width="12.42578125" style="56" customWidth="1"/>
    <col min="11768" max="11768" width="11.7109375" style="56" customWidth="1"/>
    <col min="11769" max="11769" width="12.7109375" style="56" customWidth="1"/>
    <col min="11770" max="11772" width="12.42578125" style="56" customWidth="1"/>
    <col min="11773" max="11773" width="13.42578125" style="56" customWidth="1"/>
    <col min="11774" max="11776" width="11" style="56" customWidth="1"/>
    <col min="11777" max="11777" width="12" style="56" customWidth="1"/>
    <col min="11778" max="11778" width="12.42578125" style="56" customWidth="1"/>
    <col min="11779" max="11779" width="11.85546875" style="56" customWidth="1"/>
    <col min="11780" max="11780" width="11.7109375" style="56" customWidth="1"/>
    <col min="11781" max="11781" width="12.28515625" style="56" customWidth="1"/>
    <col min="11782" max="11782" width="12.42578125" style="56" customWidth="1"/>
    <col min="11783" max="11785" width="11.7109375" style="56" customWidth="1"/>
    <col min="11786" max="11788" width="10.85546875" style="56" customWidth="1"/>
    <col min="11789" max="11789" width="10.7109375" style="56" customWidth="1"/>
    <col min="11790" max="11791" width="11.7109375" style="56" customWidth="1"/>
    <col min="11792" max="11792" width="10.140625" style="56" customWidth="1"/>
    <col min="11793" max="11793" width="11.140625" style="56" customWidth="1"/>
    <col min="11794" max="11794" width="11" style="56" customWidth="1"/>
    <col min="11795" max="11799" width="11.7109375" style="56" customWidth="1"/>
    <col min="11800" max="11803" width="10.7109375" style="56"/>
    <col min="11804" max="11804" width="13.42578125" style="56" customWidth="1"/>
    <col min="11805" max="11805" width="12.42578125" style="56" bestFit="1" customWidth="1"/>
    <col min="11806" max="11806" width="11.7109375" style="56" customWidth="1"/>
    <col min="11807" max="11807" width="14.140625" style="56" bestFit="1" customWidth="1"/>
    <col min="11808" max="11808" width="11.42578125" style="56" bestFit="1" customWidth="1"/>
    <col min="11809" max="11815" width="10.7109375" style="56"/>
    <col min="11816" max="11821" width="10.7109375" style="56" customWidth="1"/>
    <col min="11822" max="12018" width="10.7109375" style="56"/>
    <col min="12019" max="12019" width="16.85546875" style="56" customWidth="1"/>
    <col min="12020" max="12020" width="8.85546875" style="56" customWidth="1"/>
    <col min="12021" max="12021" width="13.7109375" style="56" customWidth="1"/>
    <col min="12022" max="12022" width="13.42578125" style="56" customWidth="1"/>
    <col min="12023" max="12023" width="12.42578125" style="56" customWidth="1"/>
    <col min="12024" max="12024" width="11.7109375" style="56" customWidth="1"/>
    <col min="12025" max="12025" width="12.7109375" style="56" customWidth="1"/>
    <col min="12026" max="12028" width="12.42578125" style="56" customWidth="1"/>
    <col min="12029" max="12029" width="13.42578125" style="56" customWidth="1"/>
    <col min="12030" max="12032" width="11" style="56" customWidth="1"/>
    <col min="12033" max="12033" width="12" style="56" customWidth="1"/>
    <col min="12034" max="12034" width="12.42578125" style="56" customWidth="1"/>
    <col min="12035" max="12035" width="11.85546875" style="56" customWidth="1"/>
    <col min="12036" max="12036" width="11.7109375" style="56" customWidth="1"/>
    <col min="12037" max="12037" width="12.28515625" style="56" customWidth="1"/>
    <col min="12038" max="12038" width="12.42578125" style="56" customWidth="1"/>
    <col min="12039" max="12041" width="11.7109375" style="56" customWidth="1"/>
    <col min="12042" max="12044" width="10.85546875" style="56" customWidth="1"/>
    <col min="12045" max="12045" width="10.7109375" style="56" customWidth="1"/>
    <col min="12046" max="12047" width="11.7109375" style="56" customWidth="1"/>
    <col min="12048" max="12048" width="10.140625" style="56" customWidth="1"/>
    <col min="12049" max="12049" width="11.140625" style="56" customWidth="1"/>
    <col min="12050" max="12050" width="11" style="56" customWidth="1"/>
    <col min="12051" max="12055" width="11.7109375" style="56" customWidth="1"/>
    <col min="12056" max="12059" width="10.7109375" style="56"/>
    <col min="12060" max="12060" width="13.42578125" style="56" customWidth="1"/>
    <col min="12061" max="12061" width="12.42578125" style="56" bestFit="1" customWidth="1"/>
    <col min="12062" max="12062" width="11.7109375" style="56" customWidth="1"/>
    <col min="12063" max="12063" width="14.140625" style="56" bestFit="1" customWidth="1"/>
    <col min="12064" max="12064" width="11.42578125" style="56" bestFit="1" customWidth="1"/>
    <col min="12065" max="12071" width="10.7109375" style="56"/>
    <col min="12072" max="12077" width="10.7109375" style="56" customWidth="1"/>
    <col min="12078" max="12274" width="10.7109375" style="56"/>
    <col min="12275" max="12275" width="16.85546875" style="56" customWidth="1"/>
    <col min="12276" max="12276" width="8.85546875" style="56" customWidth="1"/>
    <col min="12277" max="12277" width="13.7109375" style="56" customWidth="1"/>
    <col min="12278" max="12278" width="13.42578125" style="56" customWidth="1"/>
    <col min="12279" max="12279" width="12.42578125" style="56" customWidth="1"/>
    <col min="12280" max="12280" width="11.7109375" style="56" customWidth="1"/>
    <col min="12281" max="12281" width="12.7109375" style="56" customWidth="1"/>
    <col min="12282" max="12284" width="12.42578125" style="56" customWidth="1"/>
    <col min="12285" max="12285" width="13.42578125" style="56" customWidth="1"/>
    <col min="12286" max="12288" width="11" style="56" customWidth="1"/>
    <col min="12289" max="12289" width="12" style="56" customWidth="1"/>
    <col min="12290" max="12290" width="12.42578125" style="56" customWidth="1"/>
    <col min="12291" max="12291" width="11.85546875" style="56" customWidth="1"/>
    <col min="12292" max="12292" width="11.7109375" style="56" customWidth="1"/>
    <col min="12293" max="12293" width="12.28515625" style="56" customWidth="1"/>
    <col min="12294" max="12294" width="12.42578125" style="56" customWidth="1"/>
    <col min="12295" max="12297" width="11.7109375" style="56" customWidth="1"/>
    <col min="12298" max="12300" width="10.85546875" style="56" customWidth="1"/>
    <col min="12301" max="12301" width="10.7109375" style="56" customWidth="1"/>
    <col min="12302" max="12303" width="11.7109375" style="56" customWidth="1"/>
    <col min="12304" max="12304" width="10.140625" style="56" customWidth="1"/>
    <col min="12305" max="12305" width="11.140625" style="56" customWidth="1"/>
    <col min="12306" max="12306" width="11" style="56" customWidth="1"/>
    <col min="12307" max="12311" width="11.7109375" style="56" customWidth="1"/>
    <col min="12312" max="12315" width="10.7109375" style="56"/>
    <col min="12316" max="12316" width="13.42578125" style="56" customWidth="1"/>
    <col min="12317" max="12317" width="12.42578125" style="56" bestFit="1" customWidth="1"/>
    <col min="12318" max="12318" width="11.7109375" style="56" customWidth="1"/>
    <col min="12319" max="12319" width="14.140625" style="56" bestFit="1" customWidth="1"/>
    <col min="12320" max="12320" width="11.42578125" style="56" bestFit="1" customWidth="1"/>
    <col min="12321" max="12327" width="10.7109375" style="56"/>
    <col min="12328" max="12333" width="10.7109375" style="56" customWidth="1"/>
    <col min="12334" max="12530" width="10.7109375" style="56"/>
    <col min="12531" max="12531" width="16.85546875" style="56" customWidth="1"/>
    <col min="12532" max="12532" width="8.85546875" style="56" customWidth="1"/>
    <col min="12533" max="12533" width="13.7109375" style="56" customWidth="1"/>
    <col min="12534" max="12534" width="13.42578125" style="56" customWidth="1"/>
    <col min="12535" max="12535" width="12.42578125" style="56" customWidth="1"/>
    <col min="12536" max="12536" width="11.7109375" style="56" customWidth="1"/>
    <col min="12537" max="12537" width="12.7109375" style="56" customWidth="1"/>
    <col min="12538" max="12540" width="12.42578125" style="56" customWidth="1"/>
    <col min="12541" max="12541" width="13.42578125" style="56" customWidth="1"/>
    <col min="12542" max="12544" width="11" style="56" customWidth="1"/>
    <col min="12545" max="12545" width="12" style="56" customWidth="1"/>
    <col min="12546" max="12546" width="12.42578125" style="56" customWidth="1"/>
    <col min="12547" max="12547" width="11.85546875" style="56" customWidth="1"/>
    <col min="12548" max="12548" width="11.7109375" style="56" customWidth="1"/>
    <col min="12549" max="12549" width="12.28515625" style="56" customWidth="1"/>
    <col min="12550" max="12550" width="12.42578125" style="56" customWidth="1"/>
    <col min="12551" max="12553" width="11.7109375" style="56" customWidth="1"/>
    <col min="12554" max="12556" width="10.85546875" style="56" customWidth="1"/>
    <col min="12557" max="12557" width="10.7109375" style="56" customWidth="1"/>
    <col min="12558" max="12559" width="11.7109375" style="56" customWidth="1"/>
    <col min="12560" max="12560" width="10.140625" style="56" customWidth="1"/>
    <col min="12561" max="12561" width="11.140625" style="56" customWidth="1"/>
    <col min="12562" max="12562" width="11" style="56" customWidth="1"/>
    <col min="12563" max="12567" width="11.7109375" style="56" customWidth="1"/>
    <col min="12568" max="12571" width="10.7109375" style="56"/>
    <col min="12572" max="12572" width="13.42578125" style="56" customWidth="1"/>
    <col min="12573" max="12573" width="12.42578125" style="56" bestFit="1" customWidth="1"/>
    <col min="12574" max="12574" width="11.7109375" style="56" customWidth="1"/>
    <col min="12575" max="12575" width="14.140625" style="56" bestFit="1" customWidth="1"/>
    <col min="12576" max="12576" width="11.42578125" style="56" bestFit="1" customWidth="1"/>
    <col min="12577" max="12583" width="10.7109375" style="56"/>
    <col min="12584" max="12589" width="10.7109375" style="56" customWidth="1"/>
    <col min="12590" max="12786" width="10.7109375" style="56"/>
    <col min="12787" max="12787" width="16.85546875" style="56" customWidth="1"/>
    <col min="12788" max="12788" width="8.85546875" style="56" customWidth="1"/>
    <col min="12789" max="12789" width="13.7109375" style="56" customWidth="1"/>
    <col min="12790" max="12790" width="13.42578125" style="56" customWidth="1"/>
    <col min="12791" max="12791" width="12.42578125" style="56" customWidth="1"/>
    <col min="12792" max="12792" width="11.7109375" style="56" customWidth="1"/>
    <col min="12793" max="12793" width="12.7109375" style="56" customWidth="1"/>
    <col min="12794" max="12796" width="12.42578125" style="56" customWidth="1"/>
    <col min="12797" max="12797" width="13.42578125" style="56" customWidth="1"/>
    <col min="12798" max="12800" width="11" style="56" customWidth="1"/>
    <col min="12801" max="12801" width="12" style="56" customWidth="1"/>
    <col min="12802" max="12802" width="12.42578125" style="56" customWidth="1"/>
    <col min="12803" max="12803" width="11.85546875" style="56" customWidth="1"/>
    <col min="12804" max="12804" width="11.7109375" style="56" customWidth="1"/>
    <col min="12805" max="12805" width="12.28515625" style="56" customWidth="1"/>
    <col min="12806" max="12806" width="12.42578125" style="56" customWidth="1"/>
    <col min="12807" max="12809" width="11.7109375" style="56" customWidth="1"/>
    <col min="12810" max="12812" width="10.85546875" style="56" customWidth="1"/>
    <col min="12813" max="12813" width="10.7109375" style="56" customWidth="1"/>
    <col min="12814" max="12815" width="11.7109375" style="56" customWidth="1"/>
    <col min="12816" max="12816" width="10.140625" style="56" customWidth="1"/>
    <col min="12817" max="12817" width="11.140625" style="56" customWidth="1"/>
    <col min="12818" max="12818" width="11" style="56" customWidth="1"/>
    <col min="12819" max="12823" width="11.7109375" style="56" customWidth="1"/>
    <col min="12824" max="12827" width="10.7109375" style="56"/>
    <col min="12828" max="12828" width="13.42578125" style="56" customWidth="1"/>
    <col min="12829" max="12829" width="12.42578125" style="56" bestFit="1" customWidth="1"/>
    <col min="12830" max="12830" width="11.7109375" style="56" customWidth="1"/>
    <col min="12831" max="12831" width="14.140625" style="56" bestFit="1" customWidth="1"/>
    <col min="12832" max="12832" width="11.42578125" style="56" bestFit="1" customWidth="1"/>
    <col min="12833" max="12839" width="10.7109375" style="56"/>
    <col min="12840" max="12845" width="10.7109375" style="56" customWidth="1"/>
    <col min="12846" max="13042" width="10.7109375" style="56"/>
    <col min="13043" max="13043" width="16.85546875" style="56" customWidth="1"/>
    <col min="13044" max="13044" width="8.85546875" style="56" customWidth="1"/>
    <col min="13045" max="13045" width="13.7109375" style="56" customWidth="1"/>
    <col min="13046" max="13046" width="13.42578125" style="56" customWidth="1"/>
    <col min="13047" max="13047" width="12.42578125" style="56" customWidth="1"/>
    <col min="13048" max="13048" width="11.7109375" style="56" customWidth="1"/>
    <col min="13049" max="13049" width="12.7109375" style="56" customWidth="1"/>
    <col min="13050" max="13052" width="12.42578125" style="56" customWidth="1"/>
    <col min="13053" max="13053" width="13.42578125" style="56" customWidth="1"/>
    <col min="13054" max="13056" width="11" style="56" customWidth="1"/>
    <col min="13057" max="13057" width="12" style="56" customWidth="1"/>
    <col min="13058" max="13058" width="12.42578125" style="56" customWidth="1"/>
    <col min="13059" max="13059" width="11.85546875" style="56" customWidth="1"/>
    <col min="13060" max="13060" width="11.7109375" style="56" customWidth="1"/>
    <col min="13061" max="13061" width="12.28515625" style="56" customWidth="1"/>
    <col min="13062" max="13062" width="12.42578125" style="56" customWidth="1"/>
    <col min="13063" max="13065" width="11.7109375" style="56" customWidth="1"/>
    <col min="13066" max="13068" width="10.85546875" style="56" customWidth="1"/>
    <col min="13069" max="13069" width="10.7109375" style="56" customWidth="1"/>
    <col min="13070" max="13071" width="11.7109375" style="56" customWidth="1"/>
    <col min="13072" max="13072" width="10.140625" style="56" customWidth="1"/>
    <col min="13073" max="13073" width="11.140625" style="56" customWidth="1"/>
    <col min="13074" max="13074" width="11" style="56" customWidth="1"/>
    <col min="13075" max="13079" width="11.7109375" style="56" customWidth="1"/>
    <col min="13080" max="13083" width="10.7109375" style="56"/>
    <col min="13084" max="13084" width="13.42578125" style="56" customWidth="1"/>
    <col min="13085" max="13085" width="12.42578125" style="56" bestFit="1" customWidth="1"/>
    <col min="13086" max="13086" width="11.7109375" style="56" customWidth="1"/>
    <col min="13087" max="13087" width="14.140625" style="56" bestFit="1" customWidth="1"/>
    <col min="13088" max="13088" width="11.42578125" style="56" bestFit="1" customWidth="1"/>
    <col min="13089" max="13095" width="10.7109375" style="56"/>
    <col min="13096" max="13101" width="10.7109375" style="56" customWidth="1"/>
    <col min="13102" max="13298" width="10.7109375" style="56"/>
    <col min="13299" max="13299" width="16.85546875" style="56" customWidth="1"/>
    <col min="13300" max="13300" width="8.85546875" style="56" customWidth="1"/>
    <col min="13301" max="13301" width="13.7109375" style="56" customWidth="1"/>
    <col min="13302" max="13302" width="13.42578125" style="56" customWidth="1"/>
    <col min="13303" max="13303" width="12.42578125" style="56" customWidth="1"/>
    <col min="13304" max="13304" width="11.7109375" style="56" customWidth="1"/>
    <col min="13305" max="13305" width="12.7109375" style="56" customWidth="1"/>
    <col min="13306" max="13308" width="12.42578125" style="56" customWidth="1"/>
    <col min="13309" max="13309" width="13.42578125" style="56" customWidth="1"/>
    <col min="13310" max="13312" width="11" style="56" customWidth="1"/>
    <col min="13313" max="13313" width="12" style="56" customWidth="1"/>
    <col min="13314" max="13314" width="12.42578125" style="56" customWidth="1"/>
    <col min="13315" max="13315" width="11.85546875" style="56" customWidth="1"/>
    <col min="13316" max="13316" width="11.7109375" style="56" customWidth="1"/>
    <col min="13317" max="13317" width="12.28515625" style="56" customWidth="1"/>
    <col min="13318" max="13318" width="12.42578125" style="56" customWidth="1"/>
    <col min="13319" max="13321" width="11.7109375" style="56" customWidth="1"/>
    <col min="13322" max="13324" width="10.85546875" style="56" customWidth="1"/>
    <col min="13325" max="13325" width="10.7109375" style="56" customWidth="1"/>
    <col min="13326" max="13327" width="11.7109375" style="56" customWidth="1"/>
    <col min="13328" max="13328" width="10.140625" style="56" customWidth="1"/>
    <col min="13329" max="13329" width="11.140625" style="56" customWidth="1"/>
    <col min="13330" max="13330" width="11" style="56" customWidth="1"/>
    <col min="13331" max="13335" width="11.7109375" style="56" customWidth="1"/>
    <col min="13336" max="13339" width="10.7109375" style="56"/>
    <col min="13340" max="13340" width="13.42578125" style="56" customWidth="1"/>
    <col min="13341" max="13341" width="12.42578125" style="56" bestFit="1" customWidth="1"/>
    <col min="13342" max="13342" width="11.7109375" style="56" customWidth="1"/>
    <col min="13343" max="13343" width="14.140625" style="56" bestFit="1" customWidth="1"/>
    <col min="13344" max="13344" width="11.42578125" style="56" bestFit="1" customWidth="1"/>
    <col min="13345" max="13351" width="10.7109375" style="56"/>
    <col min="13352" max="13357" width="10.7109375" style="56" customWidth="1"/>
    <col min="13358" max="13554" width="10.7109375" style="56"/>
    <col min="13555" max="13555" width="16.85546875" style="56" customWidth="1"/>
    <col min="13556" max="13556" width="8.85546875" style="56" customWidth="1"/>
    <col min="13557" max="13557" width="13.7109375" style="56" customWidth="1"/>
    <col min="13558" max="13558" width="13.42578125" style="56" customWidth="1"/>
    <col min="13559" max="13559" width="12.42578125" style="56" customWidth="1"/>
    <col min="13560" max="13560" width="11.7109375" style="56" customWidth="1"/>
    <col min="13561" max="13561" width="12.7109375" style="56" customWidth="1"/>
    <col min="13562" max="13564" width="12.42578125" style="56" customWidth="1"/>
    <col min="13565" max="13565" width="13.42578125" style="56" customWidth="1"/>
    <col min="13566" max="13568" width="11" style="56" customWidth="1"/>
    <col min="13569" max="13569" width="12" style="56" customWidth="1"/>
    <col min="13570" max="13570" width="12.42578125" style="56" customWidth="1"/>
    <col min="13571" max="13571" width="11.85546875" style="56" customWidth="1"/>
    <col min="13572" max="13572" width="11.7109375" style="56" customWidth="1"/>
    <col min="13573" max="13573" width="12.28515625" style="56" customWidth="1"/>
    <col min="13574" max="13574" width="12.42578125" style="56" customWidth="1"/>
    <col min="13575" max="13577" width="11.7109375" style="56" customWidth="1"/>
    <col min="13578" max="13580" width="10.85546875" style="56" customWidth="1"/>
    <col min="13581" max="13581" width="10.7109375" style="56" customWidth="1"/>
    <col min="13582" max="13583" width="11.7109375" style="56" customWidth="1"/>
    <col min="13584" max="13584" width="10.140625" style="56" customWidth="1"/>
    <col min="13585" max="13585" width="11.140625" style="56" customWidth="1"/>
    <col min="13586" max="13586" width="11" style="56" customWidth="1"/>
    <col min="13587" max="13591" width="11.7109375" style="56" customWidth="1"/>
    <col min="13592" max="13595" width="10.7109375" style="56"/>
    <col min="13596" max="13596" width="13.42578125" style="56" customWidth="1"/>
    <col min="13597" max="13597" width="12.42578125" style="56" bestFit="1" customWidth="1"/>
    <col min="13598" max="13598" width="11.7109375" style="56" customWidth="1"/>
    <col min="13599" max="13599" width="14.140625" style="56" bestFit="1" customWidth="1"/>
    <col min="13600" max="13600" width="11.42578125" style="56" bestFit="1" customWidth="1"/>
    <col min="13601" max="13607" width="10.7109375" style="56"/>
    <col min="13608" max="13613" width="10.7109375" style="56" customWidth="1"/>
    <col min="13614" max="13810" width="10.7109375" style="56"/>
    <col min="13811" max="13811" width="16.85546875" style="56" customWidth="1"/>
    <col min="13812" max="13812" width="8.85546875" style="56" customWidth="1"/>
    <col min="13813" max="13813" width="13.7109375" style="56" customWidth="1"/>
    <col min="13814" max="13814" width="13.42578125" style="56" customWidth="1"/>
    <col min="13815" max="13815" width="12.42578125" style="56" customWidth="1"/>
    <col min="13816" max="13816" width="11.7109375" style="56" customWidth="1"/>
    <col min="13817" max="13817" width="12.7109375" style="56" customWidth="1"/>
    <col min="13818" max="13820" width="12.42578125" style="56" customWidth="1"/>
    <col min="13821" max="13821" width="13.42578125" style="56" customWidth="1"/>
    <col min="13822" max="13824" width="11" style="56" customWidth="1"/>
    <col min="13825" max="13825" width="12" style="56" customWidth="1"/>
    <col min="13826" max="13826" width="12.42578125" style="56" customWidth="1"/>
    <col min="13827" max="13827" width="11.85546875" style="56" customWidth="1"/>
    <col min="13828" max="13828" width="11.7109375" style="56" customWidth="1"/>
    <col min="13829" max="13829" width="12.28515625" style="56" customWidth="1"/>
    <col min="13830" max="13830" width="12.42578125" style="56" customWidth="1"/>
    <col min="13831" max="13833" width="11.7109375" style="56" customWidth="1"/>
    <col min="13834" max="13836" width="10.85546875" style="56" customWidth="1"/>
    <col min="13837" max="13837" width="10.7109375" style="56" customWidth="1"/>
    <col min="13838" max="13839" width="11.7109375" style="56" customWidth="1"/>
    <col min="13840" max="13840" width="10.140625" style="56" customWidth="1"/>
    <col min="13841" max="13841" width="11.140625" style="56" customWidth="1"/>
    <col min="13842" max="13842" width="11" style="56" customWidth="1"/>
    <col min="13843" max="13847" width="11.7109375" style="56" customWidth="1"/>
    <col min="13848" max="13851" width="10.7109375" style="56"/>
    <col min="13852" max="13852" width="13.42578125" style="56" customWidth="1"/>
    <col min="13853" max="13853" width="12.42578125" style="56" bestFit="1" customWidth="1"/>
    <col min="13854" max="13854" width="11.7109375" style="56" customWidth="1"/>
    <col min="13855" max="13855" width="14.140625" style="56" bestFit="1" customWidth="1"/>
    <col min="13856" max="13856" width="11.42578125" style="56" bestFit="1" customWidth="1"/>
    <col min="13857" max="13863" width="10.7109375" style="56"/>
    <col min="13864" max="13869" width="10.7109375" style="56" customWidth="1"/>
    <col min="13870" max="14066" width="10.7109375" style="56"/>
    <col min="14067" max="14067" width="16.85546875" style="56" customWidth="1"/>
    <col min="14068" max="14068" width="8.85546875" style="56" customWidth="1"/>
    <col min="14069" max="14069" width="13.7109375" style="56" customWidth="1"/>
    <col min="14070" max="14070" width="13.42578125" style="56" customWidth="1"/>
    <col min="14071" max="14071" width="12.42578125" style="56" customWidth="1"/>
    <col min="14072" max="14072" width="11.7109375" style="56" customWidth="1"/>
    <col min="14073" max="14073" width="12.7109375" style="56" customWidth="1"/>
    <col min="14074" max="14076" width="12.42578125" style="56" customWidth="1"/>
    <col min="14077" max="14077" width="13.42578125" style="56" customWidth="1"/>
    <col min="14078" max="14080" width="11" style="56" customWidth="1"/>
    <col min="14081" max="14081" width="12" style="56" customWidth="1"/>
    <col min="14082" max="14082" width="12.42578125" style="56" customWidth="1"/>
    <col min="14083" max="14083" width="11.85546875" style="56" customWidth="1"/>
    <col min="14084" max="14084" width="11.7109375" style="56" customWidth="1"/>
    <col min="14085" max="14085" width="12.28515625" style="56" customWidth="1"/>
    <col min="14086" max="14086" width="12.42578125" style="56" customWidth="1"/>
    <col min="14087" max="14089" width="11.7109375" style="56" customWidth="1"/>
    <col min="14090" max="14092" width="10.85546875" style="56" customWidth="1"/>
    <col min="14093" max="14093" width="10.7109375" style="56" customWidth="1"/>
    <col min="14094" max="14095" width="11.7109375" style="56" customWidth="1"/>
    <col min="14096" max="14096" width="10.140625" style="56" customWidth="1"/>
    <col min="14097" max="14097" width="11.140625" style="56" customWidth="1"/>
    <col min="14098" max="14098" width="11" style="56" customWidth="1"/>
    <col min="14099" max="14103" width="11.7109375" style="56" customWidth="1"/>
    <col min="14104" max="14107" width="10.7109375" style="56"/>
    <col min="14108" max="14108" width="13.42578125" style="56" customWidth="1"/>
    <col min="14109" max="14109" width="12.42578125" style="56" bestFit="1" customWidth="1"/>
    <col min="14110" max="14110" width="11.7109375" style="56" customWidth="1"/>
    <col min="14111" max="14111" width="14.140625" style="56" bestFit="1" customWidth="1"/>
    <col min="14112" max="14112" width="11.42578125" style="56" bestFit="1" customWidth="1"/>
    <col min="14113" max="14119" width="10.7109375" style="56"/>
    <col min="14120" max="14125" width="10.7109375" style="56" customWidth="1"/>
    <col min="14126" max="14322" width="10.7109375" style="56"/>
    <col min="14323" max="14323" width="16.85546875" style="56" customWidth="1"/>
    <col min="14324" max="14324" width="8.85546875" style="56" customWidth="1"/>
    <col min="14325" max="14325" width="13.7109375" style="56" customWidth="1"/>
    <col min="14326" max="14326" width="13.42578125" style="56" customWidth="1"/>
    <col min="14327" max="14327" width="12.42578125" style="56" customWidth="1"/>
    <col min="14328" max="14328" width="11.7109375" style="56" customWidth="1"/>
    <col min="14329" max="14329" width="12.7109375" style="56" customWidth="1"/>
    <col min="14330" max="14332" width="12.42578125" style="56" customWidth="1"/>
    <col min="14333" max="14333" width="13.42578125" style="56" customWidth="1"/>
    <col min="14334" max="14336" width="11" style="56" customWidth="1"/>
    <col min="14337" max="14337" width="12" style="56" customWidth="1"/>
    <col min="14338" max="14338" width="12.42578125" style="56" customWidth="1"/>
    <col min="14339" max="14339" width="11.85546875" style="56" customWidth="1"/>
    <col min="14340" max="14340" width="11.7109375" style="56" customWidth="1"/>
    <col min="14341" max="14341" width="12.28515625" style="56" customWidth="1"/>
    <col min="14342" max="14342" width="12.42578125" style="56" customWidth="1"/>
    <col min="14343" max="14345" width="11.7109375" style="56" customWidth="1"/>
    <col min="14346" max="14348" width="10.85546875" style="56" customWidth="1"/>
    <col min="14349" max="14349" width="10.7109375" style="56" customWidth="1"/>
    <col min="14350" max="14351" width="11.7109375" style="56" customWidth="1"/>
    <col min="14352" max="14352" width="10.140625" style="56" customWidth="1"/>
    <col min="14353" max="14353" width="11.140625" style="56" customWidth="1"/>
    <col min="14354" max="14354" width="11" style="56" customWidth="1"/>
    <col min="14355" max="14359" width="11.7109375" style="56" customWidth="1"/>
    <col min="14360" max="14363" width="10.7109375" style="56"/>
    <col min="14364" max="14364" width="13.42578125" style="56" customWidth="1"/>
    <col min="14365" max="14365" width="12.42578125" style="56" bestFit="1" customWidth="1"/>
    <col min="14366" max="14366" width="11.7109375" style="56" customWidth="1"/>
    <col min="14367" max="14367" width="14.140625" style="56" bestFit="1" customWidth="1"/>
    <col min="14368" max="14368" width="11.42578125" style="56" bestFit="1" customWidth="1"/>
    <col min="14369" max="14375" width="10.7109375" style="56"/>
    <col min="14376" max="14381" width="10.7109375" style="56" customWidth="1"/>
    <col min="14382" max="14578" width="10.7109375" style="56"/>
    <col min="14579" max="14579" width="16.85546875" style="56" customWidth="1"/>
    <col min="14580" max="14580" width="8.85546875" style="56" customWidth="1"/>
    <col min="14581" max="14581" width="13.7109375" style="56" customWidth="1"/>
    <col min="14582" max="14582" width="13.42578125" style="56" customWidth="1"/>
    <col min="14583" max="14583" width="12.42578125" style="56" customWidth="1"/>
    <col min="14584" max="14584" width="11.7109375" style="56" customWidth="1"/>
    <col min="14585" max="14585" width="12.7109375" style="56" customWidth="1"/>
    <col min="14586" max="14588" width="12.42578125" style="56" customWidth="1"/>
    <col min="14589" max="14589" width="13.42578125" style="56" customWidth="1"/>
    <col min="14590" max="14592" width="11" style="56" customWidth="1"/>
    <col min="14593" max="14593" width="12" style="56" customWidth="1"/>
    <col min="14594" max="14594" width="12.42578125" style="56" customWidth="1"/>
    <col min="14595" max="14595" width="11.85546875" style="56" customWidth="1"/>
    <col min="14596" max="14596" width="11.7109375" style="56" customWidth="1"/>
    <col min="14597" max="14597" width="12.28515625" style="56" customWidth="1"/>
    <col min="14598" max="14598" width="12.42578125" style="56" customWidth="1"/>
    <col min="14599" max="14601" width="11.7109375" style="56" customWidth="1"/>
    <col min="14602" max="14604" width="10.85546875" style="56" customWidth="1"/>
    <col min="14605" max="14605" width="10.7109375" style="56" customWidth="1"/>
    <col min="14606" max="14607" width="11.7109375" style="56" customWidth="1"/>
    <col min="14608" max="14608" width="10.140625" style="56" customWidth="1"/>
    <col min="14609" max="14609" width="11.140625" style="56" customWidth="1"/>
    <col min="14610" max="14610" width="11" style="56" customWidth="1"/>
    <col min="14611" max="14615" width="11.7109375" style="56" customWidth="1"/>
    <col min="14616" max="14619" width="10.7109375" style="56"/>
    <col min="14620" max="14620" width="13.42578125" style="56" customWidth="1"/>
    <col min="14621" max="14621" width="12.42578125" style="56" bestFit="1" customWidth="1"/>
    <col min="14622" max="14622" width="11.7109375" style="56" customWidth="1"/>
    <col min="14623" max="14623" width="14.140625" style="56" bestFit="1" customWidth="1"/>
    <col min="14624" max="14624" width="11.42578125" style="56" bestFit="1" customWidth="1"/>
    <col min="14625" max="14631" width="10.7109375" style="56"/>
    <col min="14632" max="14637" width="10.7109375" style="56" customWidth="1"/>
    <col min="14638" max="14834" width="10.7109375" style="56"/>
    <col min="14835" max="14835" width="16.85546875" style="56" customWidth="1"/>
    <col min="14836" max="14836" width="8.85546875" style="56" customWidth="1"/>
    <col min="14837" max="14837" width="13.7109375" style="56" customWidth="1"/>
    <col min="14838" max="14838" width="13.42578125" style="56" customWidth="1"/>
    <col min="14839" max="14839" width="12.42578125" style="56" customWidth="1"/>
    <col min="14840" max="14840" width="11.7109375" style="56" customWidth="1"/>
    <col min="14841" max="14841" width="12.7109375" style="56" customWidth="1"/>
    <col min="14842" max="14844" width="12.42578125" style="56" customWidth="1"/>
    <col min="14845" max="14845" width="13.42578125" style="56" customWidth="1"/>
    <col min="14846" max="14848" width="11" style="56" customWidth="1"/>
    <col min="14849" max="14849" width="12" style="56" customWidth="1"/>
    <col min="14850" max="14850" width="12.42578125" style="56" customWidth="1"/>
    <col min="14851" max="14851" width="11.85546875" style="56" customWidth="1"/>
    <col min="14852" max="14852" width="11.7109375" style="56" customWidth="1"/>
    <col min="14853" max="14853" width="12.28515625" style="56" customWidth="1"/>
    <col min="14854" max="14854" width="12.42578125" style="56" customWidth="1"/>
    <col min="14855" max="14857" width="11.7109375" style="56" customWidth="1"/>
    <col min="14858" max="14860" width="10.85546875" style="56" customWidth="1"/>
    <col min="14861" max="14861" width="10.7109375" style="56" customWidth="1"/>
    <col min="14862" max="14863" width="11.7109375" style="56" customWidth="1"/>
    <col min="14864" max="14864" width="10.140625" style="56" customWidth="1"/>
    <col min="14865" max="14865" width="11.140625" style="56" customWidth="1"/>
    <col min="14866" max="14866" width="11" style="56" customWidth="1"/>
    <col min="14867" max="14871" width="11.7109375" style="56" customWidth="1"/>
    <col min="14872" max="14875" width="10.7109375" style="56"/>
    <col min="14876" max="14876" width="13.42578125" style="56" customWidth="1"/>
    <col min="14877" max="14877" width="12.42578125" style="56" bestFit="1" customWidth="1"/>
    <col min="14878" max="14878" width="11.7109375" style="56" customWidth="1"/>
    <col min="14879" max="14879" width="14.140625" style="56" bestFit="1" customWidth="1"/>
    <col min="14880" max="14880" width="11.42578125" style="56" bestFit="1" customWidth="1"/>
    <col min="14881" max="14887" width="10.7109375" style="56"/>
    <col min="14888" max="14893" width="10.7109375" style="56" customWidth="1"/>
    <col min="14894" max="15090" width="10.7109375" style="56"/>
    <col min="15091" max="15091" width="16.85546875" style="56" customWidth="1"/>
    <col min="15092" max="15092" width="8.85546875" style="56" customWidth="1"/>
    <col min="15093" max="15093" width="13.7109375" style="56" customWidth="1"/>
    <col min="15094" max="15094" width="13.42578125" style="56" customWidth="1"/>
    <col min="15095" max="15095" width="12.42578125" style="56" customWidth="1"/>
    <col min="15096" max="15096" width="11.7109375" style="56" customWidth="1"/>
    <col min="15097" max="15097" width="12.7109375" style="56" customWidth="1"/>
    <col min="15098" max="15100" width="12.42578125" style="56" customWidth="1"/>
    <col min="15101" max="15101" width="13.42578125" style="56" customWidth="1"/>
    <col min="15102" max="15104" width="11" style="56" customWidth="1"/>
    <col min="15105" max="15105" width="12" style="56" customWidth="1"/>
    <col min="15106" max="15106" width="12.42578125" style="56" customWidth="1"/>
    <col min="15107" max="15107" width="11.85546875" style="56" customWidth="1"/>
    <col min="15108" max="15108" width="11.7109375" style="56" customWidth="1"/>
    <col min="15109" max="15109" width="12.28515625" style="56" customWidth="1"/>
    <col min="15110" max="15110" width="12.42578125" style="56" customWidth="1"/>
    <col min="15111" max="15113" width="11.7109375" style="56" customWidth="1"/>
    <col min="15114" max="15116" width="10.85546875" style="56" customWidth="1"/>
    <col min="15117" max="15117" width="10.7109375" style="56" customWidth="1"/>
    <col min="15118" max="15119" width="11.7109375" style="56" customWidth="1"/>
    <col min="15120" max="15120" width="10.140625" style="56" customWidth="1"/>
    <col min="15121" max="15121" width="11.140625" style="56" customWidth="1"/>
    <col min="15122" max="15122" width="11" style="56" customWidth="1"/>
    <col min="15123" max="15127" width="11.7109375" style="56" customWidth="1"/>
    <col min="15128" max="15131" width="10.7109375" style="56"/>
    <col min="15132" max="15132" width="13.42578125" style="56" customWidth="1"/>
    <col min="15133" max="15133" width="12.42578125" style="56" bestFit="1" customWidth="1"/>
    <col min="15134" max="15134" width="11.7109375" style="56" customWidth="1"/>
    <col min="15135" max="15135" width="14.140625" style="56" bestFit="1" customWidth="1"/>
    <col min="15136" max="15136" width="11.42578125" style="56" bestFit="1" customWidth="1"/>
    <col min="15137" max="15143" width="10.7109375" style="56"/>
    <col min="15144" max="15149" width="10.7109375" style="56" customWidth="1"/>
    <col min="15150" max="15346" width="10.7109375" style="56"/>
    <col min="15347" max="15347" width="16.85546875" style="56" customWidth="1"/>
    <col min="15348" max="15348" width="8.85546875" style="56" customWidth="1"/>
    <col min="15349" max="15349" width="13.7109375" style="56" customWidth="1"/>
    <col min="15350" max="15350" width="13.42578125" style="56" customWidth="1"/>
    <col min="15351" max="15351" width="12.42578125" style="56" customWidth="1"/>
    <col min="15352" max="15352" width="11.7109375" style="56" customWidth="1"/>
    <col min="15353" max="15353" width="12.7109375" style="56" customWidth="1"/>
    <col min="15354" max="15356" width="12.42578125" style="56" customWidth="1"/>
    <col min="15357" max="15357" width="13.42578125" style="56" customWidth="1"/>
    <col min="15358" max="15360" width="11" style="56" customWidth="1"/>
    <col min="15361" max="15361" width="12" style="56" customWidth="1"/>
    <col min="15362" max="15362" width="12.42578125" style="56" customWidth="1"/>
    <col min="15363" max="15363" width="11.85546875" style="56" customWidth="1"/>
    <col min="15364" max="15364" width="11.7109375" style="56" customWidth="1"/>
    <col min="15365" max="15365" width="12.28515625" style="56" customWidth="1"/>
    <col min="15366" max="15366" width="12.42578125" style="56" customWidth="1"/>
    <col min="15367" max="15369" width="11.7109375" style="56" customWidth="1"/>
    <col min="15370" max="15372" width="10.85546875" style="56" customWidth="1"/>
    <col min="15373" max="15373" width="10.7109375" style="56" customWidth="1"/>
    <col min="15374" max="15375" width="11.7109375" style="56" customWidth="1"/>
    <col min="15376" max="15376" width="10.140625" style="56" customWidth="1"/>
    <col min="15377" max="15377" width="11.140625" style="56" customWidth="1"/>
    <col min="15378" max="15378" width="11" style="56" customWidth="1"/>
    <col min="15379" max="15383" width="11.7109375" style="56" customWidth="1"/>
    <col min="15384" max="15387" width="10.7109375" style="56"/>
    <col min="15388" max="15388" width="13.42578125" style="56" customWidth="1"/>
    <col min="15389" max="15389" width="12.42578125" style="56" bestFit="1" customWidth="1"/>
    <col min="15390" max="15390" width="11.7109375" style="56" customWidth="1"/>
    <col min="15391" max="15391" width="14.140625" style="56" bestFit="1" customWidth="1"/>
    <col min="15392" max="15392" width="11.42578125" style="56" bestFit="1" customWidth="1"/>
    <col min="15393" max="15399" width="10.7109375" style="56"/>
    <col min="15400" max="15405" width="10.7109375" style="56" customWidth="1"/>
    <col min="15406" max="15602" width="10.7109375" style="56"/>
    <col min="15603" max="15603" width="16.85546875" style="56" customWidth="1"/>
    <col min="15604" max="15604" width="8.85546875" style="56" customWidth="1"/>
    <col min="15605" max="15605" width="13.7109375" style="56" customWidth="1"/>
    <col min="15606" max="15606" width="13.42578125" style="56" customWidth="1"/>
    <col min="15607" max="15607" width="12.42578125" style="56" customWidth="1"/>
    <col min="15608" max="15608" width="11.7109375" style="56" customWidth="1"/>
    <col min="15609" max="15609" width="12.7109375" style="56" customWidth="1"/>
    <col min="15610" max="15612" width="12.42578125" style="56" customWidth="1"/>
    <col min="15613" max="15613" width="13.42578125" style="56" customWidth="1"/>
    <col min="15614" max="15616" width="11" style="56" customWidth="1"/>
    <col min="15617" max="15617" width="12" style="56" customWidth="1"/>
    <col min="15618" max="15618" width="12.42578125" style="56" customWidth="1"/>
    <col min="15619" max="15619" width="11.85546875" style="56" customWidth="1"/>
    <col min="15620" max="15620" width="11.7109375" style="56" customWidth="1"/>
    <col min="15621" max="15621" width="12.28515625" style="56" customWidth="1"/>
    <col min="15622" max="15622" width="12.42578125" style="56" customWidth="1"/>
    <col min="15623" max="15625" width="11.7109375" style="56" customWidth="1"/>
    <col min="15626" max="15628" width="10.85546875" style="56" customWidth="1"/>
    <col min="15629" max="15629" width="10.7109375" style="56" customWidth="1"/>
    <col min="15630" max="15631" width="11.7109375" style="56" customWidth="1"/>
    <col min="15632" max="15632" width="10.140625" style="56" customWidth="1"/>
    <col min="15633" max="15633" width="11.140625" style="56" customWidth="1"/>
    <col min="15634" max="15634" width="11" style="56" customWidth="1"/>
    <col min="15635" max="15639" width="11.7109375" style="56" customWidth="1"/>
    <col min="15640" max="15643" width="10.7109375" style="56"/>
    <col min="15644" max="15644" width="13.42578125" style="56" customWidth="1"/>
    <col min="15645" max="15645" width="12.42578125" style="56" bestFit="1" customWidth="1"/>
    <col min="15646" max="15646" width="11.7109375" style="56" customWidth="1"/>
    <col min="15647" max="15647" width="14.140625" style="56" bestFit="1" customWidth="1"/>
    <col min="15648" max="15648" width="11.42578125" style="56" bestFit="1" customWidth="1"/>
    <col min="15649" max="15655" width="10.7109375" style="56"/>
    <col min="15656" max="15661" width="10.7109375" style="56" customWidth="1"/>
    <col min="15662" max="15858" width="10.7109375" style="56"/>
    <col min="15859" max="15859" width="16.85546875" style="56" customWidth="1"/>
    <col min="15860" max="15860" width="8.85546875" style="56" customWidth="1"/>
    <col min="15861" max="15861" width="13.7109375" style="56" customWidth="1"/>
    <col min="15862" max="15862" width="13.42578125" style="56" customWidth="1"/>
    <col min="15863" max="15863" width="12.42578125" style="56" customWidth="1"/>
    <col min="15864" max="15864" width="11.7109375" style="56" customWidth="1"/>
    <col min="15865" max="15865" width="12.7109375" style="56" customWidth="1"/>
    <col min="15866" max="15868" width="12.42578125" style="56" customWidth="1"/>
    <col min="15869" max="15869" width="13.42578125" style="56" customWidth="1"/>
    <col min="15870" max="15872" width="11" style="56" customWidth="1"/>
    <col min="15873" max="15873" width="12" style="56" customWidth="1"/>
    <col min="15874" max="15874" width="12.42578125" style="56" customWidth="1"/>
    <col min="15875" max="15875" width="11.85546875" style="56" customWidth="1"/>
    <col min="15876" max="15876" width="11.7109375" style="56" customWidth="1"/>
    <col min="15877" max="15877" width="12.28515625" style="56" customWidth="1"/>
    <col min="15878" max="15878" width="12.42578125" style="56" customWidth="1"/>
    <col min="15879" max="15881" width="11.7109375" style="56" customWidth="1"/>
    <col min="15882" max="15884" width="10.85546875" style="56" customWidth="1"/>
    <col min="15885" max="15885" width="10.7109375" style="56" customWidth="1"/>
    <col min="15886" max="15887" width="11.7109375" style="56" customWidth="1"/>
    <col min="15888" max="15888" width="10.140625" style="56" customWidth="1"/>
    <col min="15889" max="15889" width="11.140625" style="56" customWidth="1"/>
    <col min="15890" max="15890" width="11" style="56" customWidth="1"/>
    <col min="15891" max="15895" width="11.7109375" style="56" customWidth="1"/>
    <col min="15896" max="15899" width="10.7109375" style="56"/>
    <col min="15900" max="15900" width="13.42578125" style="56" customWidth="1"/>
    <col min="15901" max="15901" width="12.42578125" style="56" bestFit="1" customWidth="1"/>
    <col min="15902" max="15902" width="11.7109375" style="56" customWidth="1"/>
    <col min="15903" max="15903" width="14.140625" style="56" bestFit="1" customWidth="1"/>
    <col min="15904" max="15904" width="11.42578125" style="56" bestFit="1" customWidth="1"/>
    <col min="15905" max="15911" width="10.7109375" style="56"/>
    <col min="15912" max="15917" width="10.7109375" style="56" customWidth="1"/>
    <col min="15918" max="16114" width="10.7109375" style="56"/>
    <col min="16115" max="16115" width="16.85546875" style="56" customWidth="1"/>
    <col min="16116" max="16116" width="8.85546875" style="56" customWidth="1"/>
    <col min="16117" max="16117" width="13.7109375" style="56" customWidth="1"/>
    <col min="16118" max="16118" width="13.42578125" style="56" customWidth="1"/>
    <col min="16119" max="16119" width="12.42578125" style="56" customWidth="1"/>
    <col min="16120" max="16120" width="11.7109375" style="56" customWidth="1"/>
    <col min="16121" max="16121" width="12.7109375" style="56" customWidth="1"/>
    <col min="16122" max="16124" width="12.42578125" style="56" customWidth="1"/>
    <col min="16125" max="16125" width="13.42578125" style="56" customWidth="1"/>
    <col min="16126" max="16128" width="11" style="56" customWidth="1"/>
    <col min="16129" max="16129" width="12" style="56" customWidth="1"/>
    <col min="16130" max="16130" width="12.42578125" style="56" customWidth="1"/>
    <col min="16131" max="16131" width="11.85546875" style="56" customWidth="1"/>
    <col min="16132" max="16132" width="11.7109375" style="56" customWidth="1"/>
    <col min="16133" max="16133" width="12.28515625" style="56" customWidth="1"/>
    <col min="16134" max="16134" width="12.42578125" style="56" customWidth="1"/>
    <col min="16135" max="16137" width="11.7109375" style="56" customWidth="1"/>
    <col min="16138" max="16140" width="10.85546875" style="56" customWidth="1"/>
    <col min="16141" max="16141" width="10.7109375" style="56" customWidth="1"/>
    <col min="16142" max="16143" width="11.7109375" style="56" customWidth="1"/>
    <col min="16144" max="16144" width="10.140625" style="56" customWidth="1"/>
    <col min="16145" max="16145" width="11.140625" style="56" customWidth="1"/>
    <col min="16146" max="16146" width="11" style="56" customWidth="1"/>
    <col min="16147" max="16151" width="11.7109375" style="56" customWidth="1"/>
    <col min="16152" max="16155" width="10.7109375" style="56"/>
    <col min="16156" max="16156" width="13.42578125" style="56" customWidth="1"/>
    <col min="16157" max="16157" width="12.42578125" style="56" bestFit="1" customWidth="1"/>
    <col min="16158" max="16158" width="11.7109375" style="56" customWidth="1"/>
    <col min="16159" max="16159" width="14.140625" style="56" bestFit="1" customWidth="1"/>
    <col min="16160" max="16160" width="11.42578125" style="56" bestFit="1" customWidth="1"/>
    <col min="16161" max="16167" width="10.7109375" style="56"/>
    <col min="16168" max="16173" width="10.7109375" style="56" customWidth="1"/>
    <col min="16174" max="16384" width="10.7109375" style="56"/>
  </cols>
  <sheetData>
    <row r="1" spans="2:30" ht="13.5" thickBot="1" x14ac:dyDescent="0.25"/>
    <row r="2" spans="2:30" ht="29.25" customHeight="1" thickBot="1" x14ac:dyDescent="0.3">
      <c r="B2" s="57"/>
      <c r="G2" s="42"/>
      <c r="H2" s="42"/>
      <c r="I2" s="58"/>
      <c r="J2" s="58"/>
      <c r="K2" s="59"/>
      <c r="L2" s="60"/>
      <c r="M2" s="60"/>
      <c r="N2" s="61" t="s">
        <v>63</v>
      </c>
      <c r="O2" s="62" t="s">
        <v>119</v>
      </c>
    </row>
    <row r="3" spans="2:30" ht="15.75" x14ac:dyDescent="0.25">
      <c r="B3" s="68"/>
      <c r="C3" s="57"/>
      <c r="D3" s="57"/>
      <c r="E3" s="57"/>
      <c r="F3" s="57"/>
      <c r="G3" s="42"/>
      <c r="H3" s="42"/>
      <c r="I3" s="63"/>
      <c r="J3" s="63"/>
      <c r="K3" s="71"/>
      <c r="L3" s="63"/>
      <c r="M3" s="69" t="s">
        <v>64</v>
      </c>
      <c r="N3" s="67">
        <f>'Operating Hours'!C28</f>
        <v>2222</v>
      </c>
      <c r="O3" s="70">
        <f>'[1]% Rewind'!D10</f>
        <v>0.22</v>
      </c>
    </row>
    <row r="4" spans="2:30" ht="15.75" x14ac:dyDescent="0.25">
      <c r="B4" s="68"/>
      <c r="C4" s="57"/>
      <c r="D4" s="57"/>
      <c r="E4" s="57"/>
      <c r="F4" s="57"/>
      <c r="G4" s="42"/>
      <c r="H4" s="42"/>
      <c r="I4" s="58"/>
      <c r="J4" s="58"/>
      <c r="K4" s="72"/>
      <c r="L4" s="58"/>
      <c r="M4" s="69" t="s">
        <v>65</v>
      </c>
      <c r="N4" s="67">
        <f>'Operating Hours'!C29</f>
        <v>2651</v>
      </c>
      <c r="O4" s="70">
        <f>'[1]% Rewind'!D11</f>
        <v>0.8</v>
      </c>
    </row>
    <row r="5" spans="2:30" ht="15.75" x14ac:dyDescent="0.25">
      <c r="B5" s="68"/>
      <c r="C5" s="57"/>
      <c r="D5" s="57"/>
      <c r="E5" s="57"/>
      <c r="F5" s="57"/>
      <c r="G5" s="42"/>
      <c r="H5" s="42"/>
      <c r="I5" s="58"/>
      <c r="J5" s="58"/>
      <c r="K5" s="72"/>
      <c r="L5" s="58"/>
      <c r="M5" s="69" t="s">
        <v>66</v>
      </c>
      <c r="N5" s="67">
        <f>'Operating Hours'!C30</f>
        <v>2607</v>
      </c>
      <c r="O5" s="114">
        <v>0.82</v>
      </c>
    </row>
    <row r="6" spans="2:30" ht="16.5" thickBot="1" x14ac:dyDescent="0.3">
      <c r="B6" s="68"/>
      <c r="C6" s="57"/>
      <c r="D6" s="57"/>
      <c r="E6" s="57"/>
      <c r="F6" s="57"/>
      <c r="G6" s="42"/>
      <c r="H6" s="42"/>
      <c r="I6" s="63"/>
      <c r="J6" s="63"/>
      <c r="K6" s="73"/>
      <c r="L6" s="74"/>
      <c r="M6" s="75" t="s">
        <v>105</v>
      </c>
      <c r="N6" s="67">
        <f>'Operating Hours'!C31</f>
        <v>2924</v>
      </c>
      <c r="O6" s="76">
        <f>'[1]% Rewind'!D12</f>
        <v>0.82</v>
      </c>
    </row>
    <row r="7" spans="2:30" ht="15.75" x14ac:dyDescent="0.25">
      <c r="B7" s="68"/>
      <c r="C7" s="57"/>
      <c r="D7" s="57"/>
      <c r="E7" s="57"/>
      <c r="F7" s="57"/>
      <c r="G7" s="42"/>
      <c r="H7" s="42"/>
      <c r="I7" s="63"/>
      <c r="J7" s="63"/>
      <c r="K7" s="64"/>
      <c r="L7" s="65"/>
      <c r="M7" s="66" t="s">
        <v>67</v>
      </c>
      <c r="N7" s="77" t="s">
        <v>68</v>
      </c>
      <c r="O7" s="78"/>
    </row>
    <row r="8" spans="2:30" ht="15.75" x14ac:dyDescent="0.25">
      <c r="B8" s="68"/>
      <c r="C8" s="57"/>
      <c r="D8" s="57"/>
      <c r="E8" s="57"/>
      <c r="F8" s="57"/>
      <c r="G8" s="42"/>
      <c r="H8" s="42"/>
      <c r="I8" s="63"/>
      <c r="J8" s="63"/>
      <c r="K8" s="71"/>
      <c r="L8" s="63"/>
      <c r="M8" s="79" t="s">
        <v>69</v>
      </c>
      <c r="N8" s="80">
        <v>0.65</v>
      </c>
      <c r="O8" s="81"/>
    </row>
    <row r="9" spans="2:30" ht="15.75" x14ac:dyDescent="0.25">
      <c r="B9" s="82"/>
      <c r="C9" s="57"/>
      <c r="D9" s="57"/>
      <c r="E9" s="57"/>
      <c r="F9" s="57"/>
      <c r="G9" s="42"/>
      <c r="H9" s="42"/>
      <c r="I9" s="63"/>
      <c r="J9" s="63"/>
      <c r="K9" s="71"/>
      <c r="L9" s="63"/>
      <c r="M9" s="79" t="s">
        <v>70</v>
      </c>
      <c r="N9" s="80">
        <v>0.64</v>
      </c>
      <c r="O9" s="81"/>
    </row>
    <row r="10" spans="2:30" ht="16.5" thickBot="1" x14ac:dyDescent="0.3">
      <c r="B10" s="68"/>
      <c r="C10" s="57"/>
      <c r="D10" s="57"/>
      <c r="E10" s="57"/>
      <c r="F10" s="57"/>
      <c r="G10" s="42"/>
      <c r="H10" s="42"/>
      <c r="I10" s="63"/>
      <c r="J10" s="63"/>
      <c r="K10" s="73"/>
      <c r="L10" s="74"/>
      <c r="M10" s="83" t="s">
        <v>120</v>
      </c>
      <c r="N10" s="115">
        <v>0.8</v>
      </c>
      <c r="O10" s="84"/>
    </row>
    <row r="11" spans="2:30" x14ac:dyDescent="0.2">
      <c r="H11" s="85" t="s">
        <v>71</v>
      </c>
      <c r="I11" s="85" t="s">
        <v>72</v>
      </c>
      <c r="J11" s="85"/>
      <c r="K11" s="85"/>
    </row>
    <row r="12" spans="2:30" ht="15.75" thickBot="1" x14ac:dyDescent="0.3">
      <c r="H12" s="86">
        <f>1-I12</f>
        <v>0.22407873655298693</v>
      </c>
      <c r="I12" s="86">
        <f>'[1]ODP and TEFC Program Breakdown'!L11</f>
        <v>0.77592126344701307</v>
      </c>
      <c r="J12" s="86"/>
      <c r="K12" s="86"/>
      <c r="Y12" s="88"/>
      <c r="Z12" s="89">
        <v>0.35</v>
      </c>
      <c r="AD12" s="87"/>
    </row>
    <row r="13" spans="2:30" s="82" customFormat="1" ht="13.5" thickBot="1" x14ac:dyDescent="0.25">
      <c r="F13" s="125" t="s">
        <v>73</v>
      </c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7"/>
    </row>
    <row r="14" spans="2:30" ht="90" x14ac:dyDescent="0.2">
      <c r="B14" s="90" t="s">
        <v>74</v>
      </c>
      <c r="C14" s="90" t="s">
        <v>75</v>
      </c>
      <c r="D14" s="90" t="s">
        <v>88</v>
      </c>
      <c r="E14" s="90" t="s">
        <v>89</v>
      </c>
      <c r="F14" s="91" t="s">
        <v>90</v>
      </c>
      <c r="G14" s="91" t="s">
        <v>91</v>
      </c>
      <c r="H14" s="91" t="s">
        <v>76</v>
      </c>
      <c r="I14" s="91" t="s">
        <v>77</v>
      </c>
      <c r="J14" s="91" t="s">
        <v>78</v>
      </c>
      <c r="K14" s="91" t="s">
        <v>79</v>
      </c>
      <c r="L14" s="91" t="s">
        <v>80</v>
      </c>
      <c r="M14" s="119" t="s">
        <v>106</v>
      </c>
      <c r="N14" s="91" t="s">
        <v>81</v>
      </c>
      <c r="O14" s="91" t="s">
        <v>82</v>
      </c>
      <c r="P14" s="119" t="s">
        <v>107</v>
      </c>
      <c r="Q14" s="119" t="s">
        <v>108</v>
      </c>
      <c r="R14" s="119" t="s">
        <v>109</v>
      </c>
      <c r="S14" s="119" t="s">
        <v>131</v>
      </c>
      <c r="T14" s="119" t="s">
        <v>132</v>
      </c>
      <c r="U14" s="91" t="s">
        <v>110</v>
      </c>
      <c r="V14" s="91" t="s">
        <v>111</v>
      </c>
      <c r="W14" s="91" t="s">
        <v>83</v>
      </c>
    </row>
    <row r="15" spans="2:30" s="100" customFormat="1" ht="11.25" x14ac:dyDescent="0.2">
      <c r="B15" s="92" t="s">
        <v>92</v>
      </c>
      <c r="C15" s="93">
        <v>50</v>
      </c>
      <c r="D15" s="94">
        <f>'Measure Case NEMA Prem. Eff'!F6/100</f>
        <v>0.94299999999999995</v>
      </c>
      <c r="E15" s="95">
        <f>'Measure Case NEMA Prem. Eff'!J6/100</f>
        <v>0.94299999999999995</v>
      </c>
      <c r="F15" s="96">
        <f>'Base Case NEMA Energy Eff.'!F6/100</f>
        <v>0.93</v>
      </c>
      <c r="G15" s="96">
        <f>'Base Case NEMA Energy Eff.'!J6/100</f>
        <v>0.92942654867256635</v>
      </c>
      <c r="H15" s="97">
        <f>0.746*$C15*$N$8*((1/F15)-(1/D15))*$O$3</f>
        <v>7.9066694032998736E-2</v>
      </c>
      <c r="I15" s="97">
        <f>0.746*D15*$N$8*((1/G15)-(1/E15))*$O$3</f>
        <v>1.5579376797187695E-3</v>
      </c>
      <c r="J15" s="97">
        <f t="shared" ref="J15:J27" si="0">I$12*I15+H$12*H15</f>
        <v>1.892600187515504E-2</v>
      </c>
      <c r="K15" s="98">
        <f>ROUND(H15*$N$3,2)</f>
        <v>175.69</v>
      </c>
      <c r="L15" s="98">
        <f>ROUND(I15*$N$3,2)</f>
        <v>3.46</v>
      </c>
      <c r="M15" s="120">
        <f>ROUND(J15*$N$3,2)</f>
        <v>42.05</v>
      </c>
      <c r="N15" s="97">
        <f t="shared" ref="N15:N27" si="1">ROUND(H15*$N$9,4)</f>
        <v>5.0599999999999999E-2</v>
      </c>
      <c r="O15" s="97">
        <f t="shared" ref="O15:O27" si="2">ROUND(I15*$N$9,4)</f>
        <v>1E-3</v>
      </c>
      <c r="P15" s="121">
        <f t="shared" ref="P15:P27" si="3">ROUND(J15*$N$9,4)</f>
        <v>1.21E-2</v>
      </c>
      <c r="Q15" s="121">
        <f>M15/C15</f>
        <v>0.84099999999999997</v>
      </c>
      <c r="R15" s="122">
        <f>P15/C15</f>
        <v>2.42E-4</v>
      </c>
      <c r="S15" s="122">
        <f>Q15*$N$10</f>
        <v>0.67280000000000006</v>
      </c>
      <c r="T15" s="122">
        <f>R15*$N$10</f>
        <v>1.9360000000000002E-4</v>
      </c>
      <c r="U15" s="99">
        <f>'Cost Data'!Q6</f>
        <v>33.021931792172126</v>
      </c>
      <c r="V15" s="99">
        <f>'Cost Data'!P6</f>
        <v>76.536672007324327</v>
      </c>
      <c r="W15" s="99">
        <f>'Cost Data'!R6</f>
        <v>43.514740215152202</v>
      </c>
      <c r="X15" s="116">
        <f>D15-F15</f>
        <v>1.2999999999999901E-2</v>
      </c>
      <c r="Y15" s="116">
        <f>E15-G15</f>
        <v>1.3573451327433594E-2</v>
      </c>
    </row>
    <row r="16" spans="2:30" s="100" customFormat="1" ht="11.25" x14ac:dyDescent="0.2">
      <c r="B16" s="92" t="s">
        <v>93</v>
      </c>
      <c r="C16" s="93">
        <v>60</v>
      </c>
      <c r="D16" s="94">
        <f>'Measure Case NEMA Prem. Eff'!F7/100</f>
        <v>0.94799999999999995</v>
      </c>
      <c r="E16" s="95">
        <f>'Measure Case NEMA Prem. Eff'!J7/100</f>
        <v>0.94799999999999995</v>
      </c>
      <c r="F16" s="96">
        <f>'Base Case NEMA Energy Eff.'!F7/100</f>
        <v>0.93599999999999994</v>
      </c>
      <c r="G16" s="96">
        <f>'Base Case NEMA Energy Eff.'!J7/100</f>
        <v>0.93542654867256625</v>
      </c>
      <c r="H16" s="97">
        <f>0.746*$C16*$N$8*((1/F16)-(1/D16))*$O$4</f>
        <v>0.31476793248945112</v>
      </c>
      <c r="I16" s="97">
        <f>0.746*C16*$N$8*((1/G16)-(1/E16))*$O$4</f>
        <v>0.33001212566430899</v>
      </c>
      <c r="J16" s="97">
        <f t="shared" si="0"/>
        <v>0.32659622611791717</v>
      </c>
      <c r="K16" s="98">
        <f>ROUND(H16*$N$4,2)</f>
        <v>834.45</v>
      </c>
      <c r="L16" s="98">
        <f>ROUND(I16*$N$4,2)</f>
        <v>874.86</v>
      </c>
      <c r="M16" s="120">
        <f>ROUND(J16*$N$4,2)</f>
        <v>865.81</v>
      </c>
      <c r="N16" s="97">
        <f t="shared" si="1"/>
        <v>0.20150000000000001</v>
      </c>
      <c r="O16" s="97">
        <f t="shared" si="2"/>
        <v>0.2112</v>
      </c>
      <c r="P16" s="121">
        <f t="shared" si="3"/>
        <v>0.20899999999999999</v>
      </c>
      <c r="Q16" s="121">
        <f t="shared" ref="Q16:Q27" si="4">M16/C16</f>
        <v>14.430166666666667</v>
      </c>
      <c r="R16" s="122">
        <f t="shared" ref="R16:R27" si="5">P16/C16</f>
        <v>3.4833333333333331E-3</v>
      </c>
      <c r="S16" s="122">
        <f t="shared" ref="S16:S27" si="6">Q16*$N$10</f>
        <v>11.544133333333335</v>
      </c>
      <c r="T16" s="122">
        <f t="shared" ref="T16:T27" si="7">R16*$N$10</f>
        <v>2.7866666666666665E-3</v>
      </c>
      <c r="U16" s="160">
        <f>'Cost Data'!Q7</f>
        <v>31.634714274814986</v>
      </c>
      <c r="V16" s="160">
        <f>'Cost Data'!P7</f>
        <v>86.045204852368954</v>
      </c>
      <c r="W16" s="99">
        <f>'Cost Data'!R7</f>
        <v>54.410490577553972</v>
      </c>
      <c r="X16" s="116">
        <f t="shared" ref="X16:Y27" si="8">D16-F16</f>
        <v>1.2000000000000011E-2</v>
      </c>
      <c r="Y16" s="116">
        <f t="shared" si="8"/>
        <v>1.2573451327433705E-2</v>
      </c>
    </row>
    <row r="17" spans="2:25" s="100" customFormat="1" ht="11.25" x14ac:dyDescent="0.2">
      <c r="B17" s="101" t="s">
        <v>94</v>
      </c>
      <c r="C17" s="93">
        <v>75</v>
      </c>
      <c r="D17" s="94">
        <f>'Measure Case NEMA Prem. Eff'!F8/100</f>
        <v>0.94799999999999995</v>
      </c>
      <c r="E17" s="95">
        <f>'Measure Case NEMA Prem. Eff'!J8/100</f>
        <v>0.95099999999999996</v>
      </c>
      <c r="F17" s="96">
        <f>'Base Case NEMA Energy Eff.'!F8/100</f>
        <v>0.93900000000000006</v>
      </c>
      <c r="G17" s="96">
        <f>'Base Case NEMA Energy Eff.'!J8/100</f>
        <v>0.93913598820058997</v>
      </c>
      <c r="H17" s="97">
        <f>0.746*$C17*$N$8*((1/F17)-(1/D17))*$O$4</f>
        <v>0.29415214138391227</v>
      </c>
      <c r="I17" s="97">
        <f>0.746*C17*$N$8*((1/G17)-(1/E17))*$O$4</f>
        <v>0.38647909209290277</v>
      </c>
      <c r="J17" s="97">
        <f t="shared" si="0"/>
        <v>0.36579058562824229</v>
      </c>
      <c r="K17" s="98">
        <f t="shared" ref="K17:L18" si="9">ROUND(H17*$N$4,2)</f>
        <v>779.8</v>
      </c>
      <c r="L17" s="98">
        <f t="shared" si="9"/>
        <v>1024.56</v>
      </c>
      <c r="M17" s="120">
        <f t="shared" ref="M17:M18" si="10">ROUND(J17*$N$4,2)</f>
        <v>969.71</v>
      </c>
      <c r="N17" s="97">
        <f t="shared" si="1"/>
        <v>0.1883</v>
      </c>
      <c r="O17" s="97">
        <f t="shared" si="2"/>
        <v>0.24729999999999999</v>
      </c>
      <c r="P17" s="121">
        <f t="shared" si="3"/>
        <v>0.2341</v>
      </c>
      <c r="Q17" s="121">
        <f t="shared" si="4"/>
        <v>12.929466666666666</v>
      </c>
      <c r="R17" s="122">
        <f t="shared" si="5"/>
        <v>3.1213333333333332E-3</v>
      </c>
      <c r="S17" s="122">
        <f t="shared" si="6"/>
        <v>10.343573333333334</v>
      </c>
      <c r="T17" s="122">
        <f t="shared" si="7"/>
        <v>2.4970666666666668E-3</v>
      </c>
      <c r="U17" s="160">
        <f>'Cost Data'!Q8</f>
        <v>29.571929503318838</v>
      </c>
      <c r="V17" s="160">
        <f>'Cost Data'!P8</f>
        <v>81.129271381704442</v>
      </c>
      <c r="W17" s="99">
        <f>'Cost Data'!R8</f>
        <v>51.5573418783856</v>
      </c>
      <c r="X17" s="116">
        <f t="shared" si="8"/>
        <v>8.999999999999897E-3</v>
      </c>
      <c r="Y17" s="116">
        <f t="shared" si="8"/>
        <v>1.186401179940999E-2</v>
      </c>
    </row>
    <row r="18" spans="2:25" s="100" customFormat="1" ht="11.25" x14ac:dyDescent="0.2">
      <c r="B18" s="92" t="s">
        <v>95</v>
      </c>
      <c r="C18" s="93">
        <v>100</v>
      </c>
      <c r="D18" s="94">
        <f>'Measure Case NEMA Prem. Eff'!F9/100</f>
        <v>0.95200000000000007</v>
      </c>
      <c r="E18" s="95">
        <f>'Measure Case NEMA Prem. Eff'!J9/100</f>
        <v>0.95200000000000007</v>
      </c>
      <c r="F18" s="96">
        <f>'Base Case NEMA Energy Eff.'!F9/100</f>
        <v>0.94099999999999995</v>
      </c>
      <c r="G18" s="96">
        <f>'Base Case NEMA Energy Eff.'!J9/100</f>
        <v>0.9434896755162242</v>
      </c>
      <c r="H18" s="97">
        <f>0.746*$C18*$N$8*((1/F18)-(1/D18))*$O$4</f>
        <v>0.47633038337546624</v>
      </c>
      <c r="I18" s="97">
        <f>0.746*C18*$N$8*((1/G18)-(1/E18))*$O$4</f>
        <v>0.36754810665117921</v>
      </c>
      <c r="J18" s="97">
        <f t="shared" si="0"/>
        <v>0.39192390177891484</v>
      </c>
      <c r="K18" s="98">
        <f t="shared" si="9"/>
        <v>1262.75</v>
      </c>
      <c r="L18" s="98">
        <f t="shared" si="9"/>
        <v>974.37</v>
      </c>
      <c r="M18" s="120">
        <f t="shared" si="10"/>
        <v>1038.99</v>
      </c>
      <c r="N18" s="97">
        <f t="shared" si="1"/>
        <v>0.3049</v>
      </c>
      <c r="O18" s="97">
        <f t="shared" si="2"/>
        <v>0.23519999999999999</v>
      </c>
      <c r="P18" s="121">
        <f t="shared" si="3"/>
        <v>0.25080000000000002</v>
      </c>
      <c r="Q18" s="121">
        <f t="shared" si="4"/>
        <v>10.389900000000001</v>
      </c>
      <c r="R18" s="122">
        <f t="shared" si="5"/>
        <v>2.5080000000000002E-3</v>
      </c>
      <c r="S18" s="122">
        <f t="shared" si="6"/>
        <v>8.3119200000000006</v>
      </c>
      <c r="T18" s="122">
        <f t="shared" si="7"/>
        <v>2.0064000000000002E-3</v>
      </c>
      <c r="U18" s="160">
        <f>'Cost Data'!Q9</f>
        <v>27.225017166399638</v>
      </c>
      <c r="V18" s="160">
        <f>'Cost Data'!P9</f>
        <v>74.010496681162735</v>
      </c>
      <c r="W18" s="99">
        <f>'Cost Data'!R9</f>
        <v>46.785479514763097</v>
      </c>
      <c r="X18" s="116">
        <f t="shared" si="8"/>
        <v>1.1000000000000121E-2</v>
      </c>
      <c r="Y18" s="116">
        <f t="shared" si="8"/>
        <v>8.5103244837758663E-3</v>
      </c>
    </row>
    <row r="19" spans="2:25" s="100" customFormat="1" ht="11.25" x14ac:dyDescent="0.2">
      <c r="B19" s="92" t="s">
        <v>96</v>
      </c>
      <c r="C19" s="93">
        <v>125</v>
      </c>
      <c r="D19" s="94">
        <f>'Measure Case NEMA Prem. Eff'!F10/100</f>
        <v>0.95200000000000007</v>
      </c>
      <c r="E19" s="95">
        <f>'Measure Case NEMA Prem. Eff'!J10/100</f>
        <v>0.95299999999999996</v>
      </c>
      <c r="F19" s="96">
        <f>'Base Case NEMA Energy Eff.'!F10/100</f>
        <v>0.94299999999999995</v>
      </c>
      <c r="G19" s="96">
        <f>'Base Case NEMA Energy Eff.'!J10/100</f>
        <v>0.94434985250737469</v>
      </c>
      <c r="H19" s="97">
        <f>0.746*$C19*$N$8*((1/F19)-(1/D19))*$O$5</f>
        <v>0.4982759408111172</v>
      </c>
      <c r="I19" s="97">
        <f>0.746*C19*$N$8*((1/G19)-(1/E19))*$O$5</f>
        <v>0.47772035314454925</v>
      </c>
      <c r="J19" s="97">
        <f t="shared" si="0"/>
        <v>0.48232642325797798</v>
      </c>
      <c r="K19" s="98">
        <f>ROUND(H19*$N$5,2)</f>
        <v>1299.01</v>
      </c>
      <c r="L19" s="98">
        <f>ROUND(I19*$N$5,2)</f>
        <v>1245.42</v>
      </c>
      <c r="M19" s="120">
        <f>ROUND(J19*$N$5,2)</f>
        <v>1257.42</v>
      </c>
      <c r="N19" s="97">
        <f t="shared" si="1"/>
        <v>0.31890000000000002</v>
      </c>
      <c r="O19" s="97">
        <f t="shared" si="2"/>
        <v>0.30570000000000003</v>
      </c>
      <c r="P19" s="121">
        <f t="shared" si="3"/>
        <v>0.30869999999999997</v>
      </c>
      <c r="Q19" s="121">
        <f t="shared" si="4"/>
        <v>10.05936</v>
      </c>
      <c r="R19" s="122">
        <f t="shared" si="5"/>
        <v>2.4695999999999997E-3</v>
      </c>
      <c r="S19" s="122">
        <f t="shared" si="6"/>
        <v>8.0474879999999995</v>
      </c>
      <c r="T19" s="122">
        <f t="shared" si="7"/>
        <v>1.9756800000000001E-3</v>
      </c>
      <c r="U19" s="160">
        <f>'Cost Data'!Q10</f>
        <v>25.600402838178073</v>
      </c>
      <c r="V19" s="160">
        <f>'Cost Data'!P10</f>
        <v>71.830963607232775</v>
      </c>
      <c r="W19" s="99">
        <f>'Cost Data'!R10</f>
        <v>46.230560769054705</v>
      </c>
      <c r="X19" s="116">
        <f t="shared" si="8"/>
        <v>9.000000000000119E-3</v>
      </c>
      <c r="Y19" s="116">
        <f t="shared" si="8"/>
        <v>8.6501474926252708E-3</v>
      </c>
    </row>
    <row r="20" spans="2:25" s="100" customFormat="1" ht="11.25" x14ac:dyDescent="0.2">
      <c r="B20" s="92" t="s">
        <v>97</v>
      </c>
      <c r="C20" s="93">
        <v>150</v>
      </c>
      <c r="D20" s="94">
        <f>'Measure Case NEMA Prem. Eff'!F11/100</f>
        <v>0.95599999999999996</v>
      </c>
      <c r="E20" s="95">
        <f>'Measure Case NEMA Prem. Eff'!J11/100</f>
        <v>0.95700000000000007</v>
      </c>
      <c r="F20" s="96">
        <f>'Base Case NEMA Energy Eff.'!F11/100</f>
        <v>0.94799999999999995</v>
      </c>
      <c r="G20" s="96">
        <f>'Base Case NEMA Energy Eff.'!J11/100</f>
        <v>0.94952212389380519</v>
      </c>
      <c r="H20" s="97">
        <f>0.746*$C20*$N$8*((1/F20)-(1/D20))*$O$5</f>
        <v>0.52647900005296577</v>
      </c>
      <c r="I20" s="97">
        <f t="shared" ref="I20:I21" si="11">0.746*C20*$N$8*((1/G20)-(1/E20))*$O$5</f>
        <v>0.49081580021915416</v>
      </c>
      <c r="J20" s="97">
        <f t="shared" si="0"/>
        <v>0.49880716497935135</v>
      </c>
      <c r="K20" s="98">
        <f t="shared" ref="K20:L21" si="12">ROUND(H20*$N$5,2)</f>
        <v>1372.53</v>
      </c>
      <c r="L20" s="98">
        <f t="shared" si="12"/>
        <v>1279.56</v>
      </c>
      <c r="M20" s="120">
        <f t="shared" ref="M20:M21" si="13">ROUND(J20*$N$5,2)</f>
        <v>1300.3900000000001</v>
      </c>
      <c r="N20" s="97">
        <f t="shared" si="1"/>
        <v>0.33689999999999998</v>
      </c>
      <c r="O20" s="97">
        <f t="shared" si="2"/>
        <v>0.31409999999999999</v>
      </c>
      <c r="P20" s="121">
        <f t="shared" si="3"/>
        <v>0.31919999999999998</v>
      </c>
      <c r="Q20" s="121">
        <f t="shared" si="4"/>
        <v>8.6692666666666671</v>
      </c>
      <c r="R20" s="122">
        <f t="shared" si="5"/>
        <v>2.1279999999999997E-3</v>
      </c>
      <c r="S20" s="122">
        <f t="shared" si="6"/>
        <v>6.9354133333333339</v>
      </c>
      <c r="T20" s="122">
        <f t="shared" si="7"/>
        <v>1.7023999999999997E-3</v>
      </c>
      <c r="U20" s="160">
        <f>'Cost Data'!Q11</f>
        <v>24.725044632639047</v>
      </c>
      <c r="V20" s="160">
        <f>'Cost Data'!P11</f>
        <v>68.822703898680089</v>
      </c>
      <c r="W20" s="99">
        <f>'Cost Data'!R11</f>
        <v>44.097659266041042</v>
      </c>
      <c r="X20" s="116">
        <f t="shared" si="8"/>
        <v>8.0000000000000071E-3</v>
      </c>
      <c r="Y20" s="116">
        <f t="shared" si="8"/>
        <v>7.4778761061948806E-3</v>
      </c>
    </row>
    <row r="21" spans="2:25" s="103" customFormat="1" ht="11.25" x14ac:dyDescent="0.2">
      <c r="B21" s="92" t="s">
        <v>98</v>
      </c>
      <c r="C21" s="102">
        <v>200</v>
      </c>
      <c r="D21" s="94">
        <f>'Measure Case NEMA Prem. Eff'!F12/100</f>
        <v>0.95599999999999996</v>
      </c>
      <c r="E21" s="95">
        <f>'Measure Case NEMA Prem. Eff'!J12/100</f>
        <v>0.96099999999999997</v>
      </c>
      <c r="F21" s="96">
        <f>'Base Case NEMA Energy Eff.'!F12/100</f>
        <v>0.94799999999999995</v>
      </c>
      <c r="G21" s="96">
        <f>'Base Case NEMA Energy Eff.'!J12/100</f>
        <v>0.95</v>
      </c>
      <c r="H21" s="97">
        <f t="shared" ref="H21:H27" si="14">0.746*$C21*$N$8*((1/F21)-(1/D21))*$O$6</f>
        <v>0.70197200007062099</v>
      </c>
      <c r="I21" s="97">
        <f t="shared" si="11"/>
        <v>0.95816813626155584</v>
      </c>
      <c r="J21" s="97">
        <f t="shared" si="0"/>
        <v>0.90076002975413416</v>
      </c>
      <c r="K21" s="98">
        <f t="shared" si="12"/>
        <v>1830.04</v>
      </c>
      <c r="L21" s="98">
        <f t="shared" si="12"/>
        <v>2497.94</v>
      </c>
      <c r="M21" s="120">
        <f t="shared" si="13"/>
        <v>2348.2800000000002</v>
      </c>
      <c r="N21" s="97">
        <f t="shared" si="1"/>
        <v>0.44929999999999998</v>
      </c>
      <c r="O21" s="97">
        <f t="shared" si="2"/>
        <v>0.61319999999999997</v>
      </c>
      <c r="P21" s="121">
        <f t="shared" si="3"/>
        <v>0.57650000000000001</v>
      </c>
      <c r="Q21" s="121">
        <f t="shared" si="4"/>
        <v>11.741400000000001</v>
      </c>
      <c r="R21" s="122">
        <f t="shared" si="5"/>
        <v>2.8825000000000001E-3</v>
      </c>
      <c r="S21" s="122">
        <f t="shared" si="6"/>
        <v>9.3931200000000015</v>
      </c>
      <c r="T21" s="122">
        <f t="shared" si="7"/>
        <v>2.3060000000000003E-3</v>
      </c>
      <c r="U21" s="160">
        <f>'Cost Data'!Q12</f>
        <v>23.247364385442893</v>
      </c>
      <c r="V21" s="160">
        <f>'Cost Data'!P12</f>
        <v>69.81229457541771</v>
      </c>
      <c r="W21" s="99">
        <f>'Cost Data'!R12</f>
        <v>46.564930189974817</v>
      </c>
      <c r="X21" s="116">
        <f t="shared" si="8"/>
        <v>8.0000000000000071E-3</v>
      </c>
      <c r="Y21" s="116">
        <f t="shared" si="8"/>
        <v>1.100000000000001E-2</v>
      </c>
    </row>
    <row r="22" spans="2:25" s="100" customFormat="1" ht="11.25" x14ac:dyDescent="0.2">
      <c r="B22" s="92" t="s">
        <v>99</v>
      </c>
      <c r="C22" s="93">
        <v>250</v>
      </c>
      <c r="D22" s="94">
        <f>'Measure Case NEMA Prem. Eff'!F13/100</f>
        <v>0.95799999999999996</v>
      </c>
      <c r="E22" s="95">
        <f>'Measure Case NEMA Prem. Eff'!J13/100</f>
        <v>0.96099999999999997</v>
      </c>
      <c r="F22" s="96">
        <f>'Base Case NEMA Energy Eff.'!F13/100</f>
        <v>0.94700000000000006</v>
      </c>
      <c r="G22" s="96">
        <f>'Base Case NEMA Energy Eff.'!J13/100</f>
        <v>0.95038230088495568</v>
      </c>
      <c r="H22" s="97">
        <f t="shared" si="14"/>
        <v>1.2052669345896017</v>
      </c>
      <c r="I22" s="97">
        <f>0.746*C22*$N$8*((1/G22)-(1/E22))*$O$6</f>
        <v>1.1556191548613217</v>
      </c>
      <c r="J22" s="97">
        <f t="shared" si="0"/>
        <v>1.1667441666154956</v>
      </c>
      <c r="K22" s="98">
        <f>ROUND(H22*$N$6,2)</f>
        <v>3524.2</v>
      </c>
      <c r="L22" s="98">
        <f>ROUND(I22*$N$6,2)</f>
        <v>3379.03</v>
      </c>
      <c r="M22" s="120">
        <f>ROUND(J22*$N$6,2)</f>
        <v>3411.56</v>
      </c>
      <c r="N22" s="97">
        <f t="shared" si="1"/>
        <v>0.77139999999999997</v>
      </c>
      <c r="O22" s="97">
        <f t="shared" si="2"/>
        <v>0.73960000000000004</v>
      </c>
      <c r="P22" s="121">
        <f t="shared" si="3"/>
        <v>0.74670000000000003</v>
      </c>
      <c r="Q22" s="121">
        <f t="shared" si="4"/>
        <v>13.646240000000001</v>
      </c>
      <c r="R22" s="122">
        <f t="shared" si="5"/>
        <v>2.9868E-3</v>
      </c>
      <c r="S22" s="122">
        <f t="shared" si="6"/>
        <v>10.916992</v>
      </c>
      <c r="T22" s="122">
        <f t="shared" si="7"/>
        <v>2.3894400000000001E-3</v>
      </c>
      <c r="U22" s="160">
        <f>'Cost Data'!Q13</f>
        <v>22.696495616059067</v>
      </c>
      <c r="V22" s="160">
        <f>'Cost Data'!P13</f>
        <v>72.661409321642822</v>
      </c>
      <c r="W22" s="99">
        <f>'Cost Data'!R13</f>
        <v>49.964913705583754</v>
      </c>
      <c r="X22" s="116">
        <f t="shared" si="8"/>
        <v>1.0999999999999899E-2</v>
      </c>
      <c r="Y22" s="116">
        <f t="shared" si="8"/>
        <v>1.0617699115044288E-2</v>
      </c>
    </row>
    <row r="23" spans="2:25" s="100" customFormat="1" ht="11.25" x14ac:dyDescent="0.2">
      <c r="B23" s="92" t="s">
        <v>100</v>
      </c>
      <c r="C23" s="93">
        <v>300</v>
      </c>
      <c r="D23" s="94">
        <f>'Measure Case NEMA Prem. Eff'!F14/100</f>
        <v>0.95799999999999996</v>
      </c>
      <c r="E23" s="95">
        <f>'Measure Case NEMA Prem. Eff'!J14/100</f>
        <v>0.96200000000000008</v>
      </c>
      <c r="F23" s="96">
        <f>'Base Case NEMA Energy Eff.'!F14/100</f>
        <v>0.95400000000000007</v>
      </c>
      <c r="G23" s="96">
        <f>'Base Case NEMA Energy Eff.'!J14/100</f>
        <v>0.95334985250737458</v>
      </c>
      <c r="H23" s="97">
        <f t="shared" si="14"/>
        <v>0.52207560299888001</v>
      </c>
      <c r="I23" s="97">
        <f t="shared" ref="I23:I27" si="15">0.746*C23*$N$8*((1/G23)-(1/E23))*$O$6</f>
        <v>1.125080061099891</v>
      </c>
      <c r="J23" s="97">
        <f t="shared" si="0"/>
        <v>0.98995958399279793</v>
      </c>
      <c r="K23" s="98">
        <f t="shared" ref="K23:L27" si="16">ROUND(H23*$N$6,2)</f>
        <v>1526.55</v>
      </c>
      <c r="L23" s="98">
        <f t="shared" si="16"/>
        <v>3289.73</v>
      </c>
      <c r="M23" s="120">
        <f t="shared" ref="M23:M27" si="17">ROUND(J23*$N$6,2)</f>
        <v>2894.64</v>
      </c>
      <c r="N23" s="97">
        <f t="shared" si="1"/>
        <v>0.33410000000000001</v>
      </c>
      <c r="O23" s="97">
        <f t="shared" si="2"/>
        <v>0.72009999999999996</v>
      </c>
      <c r="P23" s="121">
        <f t="shared" si="3"/>
        <v>0.63360000000000005</v>
      </c>
      <c r="Q23" s="121">
        <f t="shared" si="4"/>
        <v>9.6487999999999996</v>
      </c>
      <c r="R23" s="122">
        <f t="shared" si="5"/>
        <v>2.1120000000000002E-3</v>
      </c>
      <c r="S23" s="122">
        <f t="shared" si="6"/>
        <v>7.7190399999999997</v>
      </c>
      <c r="T23" s="122">
        <f t="shared" si="7"/>
        <v>1.6896000000000003E-3</v>
      </c>
      <c r="U23" s="160">
        <f>'Cost Data'!Q14</f>
        <v>21.934400861405937</v>
      </c>
      <c r="V23" s="160">
        <f>'Cost Data'!P14</f>
        <v>79.754023227195816</v>
      </c>
      <c r="W23" s="99">
        <f>'Cost Data'!R14</f>
        <v>57.819622365789883</v>
      </c>
      <c r="X23" s="116">
        <f t="shared" si="8"/>
        <v>3.9999999999998925E-3</v>
      </c>
      <c r="Y23" s="116">
        <f t="shared" si="8"/>
        <v>8.6501474926254929E-3</v>
      </c>
    </row>
    <row r="24" spans="2:25" s="100" customFormat="1" ht="11.25" x14ac:dyDescent="0.2">
      <c r="B24" s="92" t="s">
        <v>101</v>
      </c>
      <c r="C24" s="93">
        <v>350</v>
      </c>
      <c r="D24" s="94">
        <f>'Measure Case NEMA Prem. Eff'!F15/100</f>
        <v>0.95799999999999996</v>
      </c>
      <c r="E24" s="95">
        <f>'Measure Case NEMA Prem. Eff'!J15/100</f>
        <v>0.96200000000000008</v>
      </c>
      <c r="F24" s="96">
        <f>'Base Case NEMA Energy Eff.'!F15/100</f>
        <v>0.95400000000000007</v>
      </c>
      <c r="G24" s="96">
        <f>'Base Case NEMA Energy Eff.'!J15/100</f>
        <v>0.95334985250737458</v>
      </c>
      <c r="H24" s="97">
        <f t="shared" si="14"/>
        <v>0.60908820349869353</v>
      </c>
      <c r="I24" s="97">
        <f t="shared" si="15"/>
        <v>1.3125934046165399</v>
      </c>
      <c r="J24" s="97">
        <f t="shared" si="0"/>
        <v>1.154952847991598</v>
      </c>
      <c r="K24" s="98">
        <f t="shared" si="16"/>
        <v>1780.97</v>
      </c>
      <c r="L24" s="98">
        <f t="shared" si="16"/>
        <v>3838.02</v>
      </c>
      <c r="M24" s="120">
        <f t="shared" si="17"/>
        <v>3377.08</v>
      </c>
      <c r="N24" s="97">
        <f t="shared" si="1"/>
        <v>0.38979999999999998</v>
      </c>
      <c r="O24" s="97">
        <f t="shared" si="2"/>
        <v>0.84009999999999996</v>
      </c>
      <c r="P24" s="121">
        <f t="shared" si="3"/>
        <v>0.73919999999999997</v>
      </c>
      <c r="Q24" s="121">
        <f t="shared" si="4"/>
        <v>9.6487999999999996</v>
      </c>
      <c r="R24" s="122">
        <f t="shared" si="5"/>
        <v>2.1119999999999997E-3</v>
      </c>
      <c r="S24" s="122">
        <f t="shared" si="6"/>
        <v>7.7190399999999997</v>
      </c>
      <c r="T24" s="122">
        <f t="shared" si="7"/>
        <v>1.6895999999999999E-3</v>
      </c>
      <c r="U24" s="160">
        <f>'Cost Data'!Q15</f>
        <v>21.08978614200171</v>
      </c>
      <c r="V24" s="160">
        <f>'Cost Data'!P15</f>
        <v>92.04607256076082</v>
      </c>
      <c r="W24" s="99">
        <f>'Cost Data'!R15</f>
        <v>70.956286418759106</v>
      </c>
      <c r="X24" s="116">
        <f t="shared" si="8"/>
        <v>3.9999999999998925E-3</v>
      </c>
      <c r="Y24" s="116">
        <f t="shared" si="8"/>
        <v>8.6501474926254929E-3</v>
      </c>
    </row>
    <row r="25" spans="2:25" s="100" customFormat="1" ht="11.25" x14ac:dyDescent="0.2">
      <c r="B25" s="92" t="s">
        <v>102</v>
      </c>
      <c r="C25" s="93">
        <v>400</v>
      </c>
      <c r="D25" s="94">
        <f>'Measure Case NEMA Prem. Eff'!F16/100</f>
        <v>0.95799999999999996</v>
      </c>
      <c r="E25" s="95">
        <f>'Measure Case NEMA Prem. Eff'!J16/100</f>
        <v>0.96200000000000008</v>
      </c>
      <c r="F25" s="96">
        <f>'Base Case NEMA Energy Eff.'!F16/100</f>
        <v>0.95400000000000007</v>
      </c>
      <c r="G25" s="96">
        <f>'Base Case NEMA Energy Eff.'!J16/100</f>
        <v>0.95400000000000007</v>
      </c>
      <c r="H25" s="97">
        <f t="shared" si="14"/>
        <v>0.69610080399850671</v>
      </c>
      <c r="I25" s="97">
        <f t="shared" si="15"/>
        <v>1.3864128279222625</v>
      </c>
      <c r="J25" s="97">
        <f t="shared" si="0"/>
        <v>1.2317285817740919</v>
      </c>
      <c r="K25" s="98">
        <f t="shared" si="16"/>
        <v>2035.4</v>
      </c>
      <c r="L25" s="98">
        <f t="shared" si="16"/>
        <v>4053.87</v>
      </c>
      <c r="M25" s="120">
        <f t="shared" si="17"/>
        <v>3601.57</v>
      </c>
      <c r="N25" s="97">
        <f t="shared" si="1"/>
        <v>0.44550000000000001</v>
      </c>
      <c r="O25" s="97">
        <f t="shared" si="2"/>
        <v>0.88729999999999998</v>
      </c>
      <c r="P25" s="121">
        <f t="shared" si="3"/>
        <v>0.7883</v>
      </c>
      <c r="Q25" s="121">
        <f t="shared" si="4"/>
        <v>9.0039250000000006</v>
      </c>
      <c r="R25" s="122">
        <f t="shared" si="5"/>
        <v>1.9707499999999998E-3</v>
      </c>
      <c r="S25" s="122">
        <f t="shared" si="6"/>
        <v>7.2031400000000012</v>
      </c>
      <c r="T25" s="122">
        <f t="shared" si="7"/>
        <v>1.5766E-3</v>
      </c>
      <c r="U25" s="160">
        <f>'Cost Data'!Q16</f>
        <v>20.151822824938357</v>
      </c>
      <c r="V25" s="160">
        <f>'Cost Data'!P16</f>
        <v>99.705436773511792</v>
      </c>
      <c r="W25" s="99">
        <f>'Cost Data'!R16</f>
        <v>79.553613948573428</v>
      </c>
      <c r="X25" s="116">
        <f t="shared" si="8"/>
        <v>3.9999999999998925E-3</v>
      </c>
      <c r="Y25" s="116">
        <f t="shared" si="8"/>
        <v>8.0000000000000071E-3</v>
      </c>
    </row>
    <row r="26" spans="2:25" s="100" customFormat="1" ht="11.25" x14ac:dyDescent="0.2">
      <c r="B26" s="92" t="s">
        <v>103</v>
      </c>
      <c r="C26" s="93">
        <v>450</v>
      </c>
      <c r="D26" s="94">
        <f>'Measure Case NEMA Prem. Eff'!F17/100</f>
        <v>0.96200000000000008</v>
      </c>
      <c r="E26" s="95">
        <f>'Measure Case NEMA Prem. Eff'!J17/100</f>
        <v>0.96200000000000008</v>
      </c>
      <c r="F26" s="96">
        <f>'Base Case NEMA Energy Eff.'!F17/100</f>
        <v>0.95799999999999996</v>
      </c>
      <c r="G26" s="96">
        <f>'Base Case NEMA Energy Eff.'!J17/100</f>
        <v>0.95400000000000007</v>
      </c>
      <c r="H26" s="97">
        <f t="shared" si="14"/>
        <v>0.7766010269142255</v>
      </c>
      <c r="I26" s="97">
        <f t="shared" si="15"/>
        <v>1.5597144314125455</v>
      </c>
      <c r="J26" s="97">
        <f t="shared" si="0"/>
        <v>1.3842353691548537</v>
      </c>
      <c r="K26" s="98">
        <f t="shared" si="16"/>
        <v>2270.7800000000002</v>
      </c>
      <c r="L26" s="98">
        <f t="shared" si="16"/>
        <v>4560.6000000000004</v>
      </c>
      <c r="M26" s="120">
        <f t="shared" si="17"/>
        <v>4047.5</v>
      </c>
      <c r="N26" s="97">
        <f t="shared" si="1"/>
        <v>0.497</v>
      </c>
      <c r="O26" s="97">
        <f t="shared" si="2"/>
        <v>0.99819999999999998</v>
      </c>
      <c r="P26" s="121">
        <f t="shared" si="3"/>
        <v>0.88590000000000002</v>
      </c>
      <c r="Q26" s="121">
        <f t="shared" si="4"/>
        <v>8.9944444444444436</v>
      </c>
      <c r="R26" s="122">
        <f t="shared" si="5"/>
        <v>1.9686666666666667E-3</v>
      </c>
      <c r="S26" s="122">
        <f t="shared" si="6"/>
        <v>7.195555555555555</v>
      </c>
      <c r="T26" s="122">
        <f t="shared" si="7"/>
        <v>1.5749333333333335E-3</v>
      </c>
      <c r="U26" s="160">
        <f>'Cost Data'!Q17</f>
        <v>20.151822824938357</v>
      </c>
      <c r="V26" s="160">
        <f>'Cost Data'!P17</f>
        <v>99.705436773511792</v>
      </c>
      <c r="W26" s="99">
        <f>'Cost Data'!R17</f>
        <v>79.553613948573428</v>
      </c>
      <c r="X26" s="116">
        <f t="shared" si="8"/>
        <v>4.0000000000001146E-3</v>
      </c>
      <c r="Y26" s="116">
        <f t="shared" si="8"/>
        <v>8.0000000000000071E-3</v>
      </c>
    </row>
    <row r="27" spans="2:25" s="100" customFormat="1" ht="11.25" x14ac:dyDescent="0.2">
      <c r="B27" s="92" t="s">
        <v>104</v>
      </c>
      <c r="C27" s="93">
        <v>500</v>
      </c>
      <c r="D27" s="94">
        <f>'Measure Case NEMA Prem. Eff'!F18/100</f>
        <v>0.96200000000000008</v>
      </c>
      <c r="E27" s="95">
        <f>'Measure Case NEMA Prem. Eff'!J18/100</f>
        <v>0.96200000000000008</v>
      </c>
      <c r="F27" s="96">
        <f>'Base Case NEMA Energy Eff.'!F18/100</f>
        <v>0.95799999999999996</v>
      </c>
      <c r="G27" s="96">
        <f>'Base Case NEMA Energy Eff.'!J18/100</f>
        <v>0.95799999999999996</v>
      </c>
      <c r="H27" s="97">
        <f t="shared" si="14"/>
        <v>0.8628900299046951</v>
      </c>
      <c r="I27" s="97">
        <f t="shared" si="15"/>
        <v>0.8628900299046951</v>
      </c>
      <c r="J27" s="97">
        <f t="shared" si="0"/>
        <v>0.8628900299046951</v>
      </c>
      <c r="K27" s="98">
        <f t="shared" si="16"/>
        <v>2523.09</v>
      </c>
      <c r="L27" s="98">
        <f t="shared" si="16"/>
        <v>2523.09</v>
      </c>
      <c r="M27" s="120">
        <f t="shared" si="17"/>
        <v>2523.09</v>
      </c>
      <c r="N27" s="97">
        <f t="shared" si="1"/>
        <v>0.55220000000000002</v>
      </c>
      <c r="O27" s="97">
        <f t="shared" si="2"/>
        <v>0.55220000000000002</v>
      </c>
      <c r="P27" s="121">
        <f t="shared" si="3"/>
        <v>0.55220000000000002</v>
      </c>
      <c r="Q27" s="121">
        <f t="shared" si="4"/>
        <v>5.0461800000000006</v>
      </c>
      <c r="R27" s="122">
        <f t="shared" si="5"/>
        <v>1.1044E-3</v>
      </c>
      <c r="S27" s="122">
        <f t="shared" si="6"/>
        <v>4.036944000000001</v>
      </c>
      <c r="T27" s="122">
        <f t="shared" si="7"/>
        <v>8.8352000000000005E-4</v>
      </c>
      <c r="U27" s="160">
        <f>'Cost Data'!Q18</f>
        <v>20.151822824938357</v>
      </c>
      <c r="V27" s="160">
        <f>'Cost Data'!P18</f>
        <v>99.705436773511792</v>
      </c>
      <c r="W27" s="99">
        <f>'Cost Data'!R18</f>
        <v>79.553613948573428</v>
      </c>
      <c r="X27" s="116">
        <f t="shared" si="8"/>
        <v>4.0000000000001146E-3</v>
      </c>
      <c r="Y27" s="116">
        <f t="shared" si="8"/>
        <v>4.0000000000001146E-3</v>
      </c>
    </row>
    <row r="28" spans="2:25" s="100" customFormat="1" ht="15" x14ac:dyDescent="0.25">
      <c r="B28" s="42"/>
      <c r="C28" s="42"/>
      <c r="D28" s="104"/>
      <c r="E28" s="104"/>
      <c r="F28" s="104"/>
      <c r="G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49"/>
      <c r="T28" s="149"/>
      <c r="U28" s="104"/>
      <c r="V28" s="104"/>
      <c r="W28" s="105"/>
    </row>
    <row r="29" spans="2:25" ht="15" x14ac:dyDescent="0.2">
      <c r="B29" s="107"/>
    </row>
    <row r="30" spans="2:25" x14ac:dyDescent="0.2">
      <c r="B30" s="56"/>
    </row>
    <row r="31" spans="2:25" s="100" customFormat="1" x14ac:dyDescent="0.2">
      <c r="B31" s="108" t="s">
        <v>116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50"/>
      <c r="T31" s="150"/>
      <c r="U31" s="109"/>
      <c r="V31" s="109"/>
      <c r="W31" s="109"/>
    </row>
    <row r="32" spans="2:25" s="100" customFormat="1" x14ac:dyDescent="0.2">
      <c r="B32" s="108" t="s">
        <v>117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50"/>
      <c r="T32" s="150"/>
      <c r="U32" s="109"/>
      <c r="V32" s="109"/>
      <c r="W32" s="109"/>
    </row>
    <row r="33" spans="2:46" s="100" customFormat="1" x14ac:dyDescent="0.2">
      <c r="B33" s="111" t="s">
        <v>118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50"/>
      <c r="T33" s="150"/>
      <c r="U33" s="109"/>
      <c r="V33" s="109"/>
      <c r="W33" s="109"/>
    </row>
    <row r="34" spans="2:46" s="100" customFormat="1" x14ac:dyDescent="0.2">
      <c r="B34" s="111" t="s">
        <v>84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50"/>
      <c r="T34" s="150"/>
      <c r="U34" s="109"/>
      <c r="V34" s="109"/>
      <c r="W34" s="109"/>
    </row>
    <row r="35" spans="2:46" s="100" customFormat="1" x14ac:dyDescent="0.2">
      <c r="B35" s="111" t="s">
        <v>85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50"/>
      <c r="T35" s="150"/>
      <c r="U35" s="109"/>
      <c r="V35" s="109"/>
      <c r="W35" s="109"/>
    </row>
    <row r="36" spans="2:46" s="100" customFormat="1" x14ac:dyDescent="0.2">
      <c r="B36" s="111" t="s">
        <v>113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50"/>
      <c r="T36" s="150"/>
      <c r="U36" s="109"/>
      <c r="V36" s="109"/>
      <c r="W36" s="109"/>
    </row>
    <row r="37" spans="2:46" s="100" customFormat="1" x14ac:dyDescent="0.2">
      <c r="B37" s="111" t="s">
        <v>114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50"/>
      <c r="T37" s="150"/>
      <c r="U37" s="109"/>
      <c r="V37" s="109"/>
      <c r="W37" s="109"/>
    </row>
    <row r="38" spans="2:46" s="100" customFormat="1" x14ac:dyDescent="0.2">
      <c r="B38" s="111" t="s">
        <v>86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50"/>
      <c r="T38" s="150"/>
      <c r="U38" s="109"/>
      <c r="V38" s="109"/>
      <c r="W38" s="109"/>
    </row>
    <row r="39" spans="2:46" s="100" customFormat="1" x14ac:dyDescent="0.2">
      <c r="B39" s="111" t="s">
        <v>115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50"/>
      <c r="T39" s="150"/>
      <c r="U39" s="109"/>
      <c r="V39" s="109"/>
      <c r="W39" s="109"/>
    </row>
    <row r="40" spans="2:46" s="100" customFormat="1" x14ac:dyDescent="0.2">
      <c r="B40" s="111" t="s">
        <v>121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50"/>
      <c r="T40" s="150"/>
      <c r="U40" s="109"/>
      <c r="V40" s="109"/>
      <c r="W40" s="109"/>
    </row>
    <row r="41" spans="2:46" s="100" customFormat="1" x14ac:dyDescent="0.2">
      <c r="B41" s="108" t="s">
        <v>122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50"/>
      <c r="T41" s="150"/>
      <c r="U41" s="109"/>
      <c r="V41" s="109"/>
      <c r="W41" s="109"/>
    </row>
    <row r="42" spans="2:46" s="100" customFormat="1" x14ac:dyDescent="0.2">
      <c r="B42" s="108" t="s">
        <v>87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50"/>
      <c r="T42" s="150"/>
      <c r="U42" s="109"/>
      <c r="V42" s="109"/>
      <c r="W42" s="109"/>
    </row>
    <row r="43" spans="2:46" s="100" customFormat="1" x14ac:dyDescent="0.2">
      <c r="B43" s="112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50"/>
      <c r="T43" s="150"/>
      <c r="U43" s="109"/>
      <c r="V43" s="109"/>
      <c r="W43" s="109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110"/>
      <c r="AQ43" s="110"/>
      <c r="AR43" s="110"/>
      <c r="AS43" s="110"/>
      <c r="AT43" s="110"/>
    </row>
    <row r="44" spans="2:46" x14ac:dyDescent="0.2">
      <c r="B44" s="108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50"/>
      <c r="T44" s="150"/>
      <c r="U44" s="109"/>
      <c r="V44" s="109"/>
      <c r="W44" s="109"/>
      <c r="AP44" s="106"/>
      <c r="AQ44" s="106"/>
      <c r="AR44" s="106"/>
      <c r="AS44" s="106"/>
      <c r="AT44" s="106"/>
    </row>
    <row r="45" spans="2:46" x14ac:dyDescent="0.2">
      <c r="B45" s="108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50"/>
      <c r="T45" s="150"/>
      <c r="U45" s="109"/>
      <c r="V45" s="109"/>
      <c r="W45" s="109"/>
      <c r="AP45" s="106"/>
      <c r="AQ45" s="106"/>
      <c r="AR45" s="106"/>
      <c r="AS45" s="106"/>
      <c r="AT45" s="106"/>
    </row>
    <row r="46" spans="2:46" x14ac:dyDescent="0.2">
      <c r="B46" s="108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50"/>
      <c r="T46" s="150"/>
      <c r="U46" s="109"/>
      <c r="V46" s="109"/>
      <c r="W46" s="109"/>
      <c r="AP46" s="106"/>
      <c r="AQ46" s="106"/>
      <c r="AR46" s="106"/>
      <c r="AS46" s="106"/>
      <c r="AT46" s="106"/>
    </row>
    <row r="47" spans="2:46" x14ac:dyDescent="0.2"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50"/>
      <c r="T47" s="150"/>
      <c r="U47" s="109"/>
      <c r="V47" s="109"/>
      <c r="W47" s="109"/>
      <c r="AP47" s="106"/>
      <c r="AQ47" s="106"/>
      <c r="AR47" s="106"/>
      <c r="AS47" s="106"/>
      <c r="AT47" s="106"/>
    </row>
    <row r="48" spans="2:46" x14ac:dyDescent="0.2"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50"/>
      <c r="T48" s="150"/>
      <c r="U48" s="109"/>
      <c r="V48" s="109"/>
      <c r="W48" s="109"/>
      <c r="AP48" s="106"/>
      <c r="AQ48" s="106"/>
      <c r="AR48" s="106"/>
      <c r="AS48" s="106"/>
      <c r="AT48" s="106"/>
    </row>
    <row r="49" spans="2:46" x14ac:dyDescent="0.2">
      <c r="B49" s="108"/>
      <c r="AP49" s="106"/>
      <c r="AQ49" s="106"/>
      <c r="AR49" s="106"/>
      <c r="AS49" s="106"/>
      <c r="AT49" s="106"/>
    </row>
    <row r="50" spans="2:46" x14ac:dyDescent="0.2">
      <c r="B50" s="88"/>
      <c r="AP50" s="106"/>
      <c r="AQ50" s="106"/>
      <c r="AR50" s="106"/>
      <c r="AS50" s="106"/>
      <c r="AT50" s="106"/>
    </row>
    <row r="51" spans="2:46" x14ac:dyDescent="0.2">
      <c r="AP51" s="106"/>
      <c r="AQ51" s="106"/>
      <c r="AR51" s="106"/>
      <c r="AS51" s="106"/>
      <c r="AT51" s="106"/>
    </row>
    <row r="52" spans="2:46" x14ac:dyDescent="0.2">
      <c r="B52" s="109"/>
    </row>
    <row r="53" spans="2:46" x14ac:dyDescent="0.2">
      <c r="B53" s="109"/>
    </row>
    <row r="54" spans="2:46" x14ac:dyDescent="0.2">
      <c r="B54" s="109"/>
    </row>
    <row r="56" spans="2:46" x14ac:dyDescent="0.2">
      <c r="B56" s="113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50"/>
      <c r="T56" s="150"/>
      <c r="U56" s="109"/>
      <c r="V56" s="109"/>
      <c r="W56" s="109"/>
    </row>
    <row r="57" spans="2:46" x14ac:dyDescent="0.2">
      <c r="B57" s="113"/>
    </row>
    <row r="58" spans="2:46" x14ac:dyDescent="0.2">
      <c r="B58" s="113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50"/>
      <c r="T58" s="150"/>
      <c r="U58" s="109"/>
      <c r="V58" s="109"/>
      <c r="W58" s="109"/>
    </row>
    <row r="59" spans="2:46" x14ac:dyDescent="0.2">
      <c r="B59" s="85"/>
    </row>
    <row r="68" spans="19:46" s="55" customFormat="1" x14ac:dyDescent="0.2">
      <c r="S68" s="148"/>
      <c r="T68" s="148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</row>
  </sheetData>
  <mergeCells count="1">
    <mergeCell ref="F13:W1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31"/>
  <sheetViews>
    <sheetView workbookViewId="0">
      <selection activeCell="E24" sqref="E24"/>
    </sheetView>
  </sheetViews>
  <sheetFormatPr defaultRowHeight="15" x14ac:dyDescent="0.25"/>
  <cols>
    <col min="1" max="1" width="12" customWidth="1"/>
    <col min="2" max="3" width="9.28515625" bestFit="1" customWidth="1"/>
    <col min="4" max="4" width="10.140625" bestFit="1" customWidth="1"/>
    <col min="5" max="5" width="9.28515625" bestFit="1" customWidth="1"/>
    <col min="6" max="6" width="10.140625" bestFit="1" customWidth="1"/>
    <col min="7" max="7" width="9.28515625" bestFit="1" customWidth="1"/>
    <col min="8" max="8" width="10.140625" bestFit="1" customWidth="1"/>
    <col min="9" max="9" width="9.28515625" bestFit="1" customWidth="1"/>
    <col min="10" max="10" width="10.140625" bestFit="1" customWidth="1"/>
    <col min="11" max="11" width="9.28515625" bestFit="1" customWidth="1"/>
    <col min="12" max="12" width="10.140625" bestFit="1" customWidth="1"/>
    <col min="13" max="13" width="9.28515625" bestFit="1" customWidth="1"/>
    <col min="14" max="14" width="18.28515625" customWidth="1"/>
    <col min="15" max="15" width="19.85546875" customWidth="1"/>
    <col min="16" max="16" width="22.5703125" customWidth="1"/>
    <col min="17" max="17" width="17.7109375" customWidth="1"/>
    <col min="18" max="18" width="13.140625" customWidth="1"/>
  </cols>
  <sheetData>
    <row r="3" spans="1:20" x14ac:dyDescent="0.25">
      <c r="B3" s="132" t="s">
        <v>1</v>
      </c>
      <c r="C3" s="133"/>
      <c r="D3" s="133"/>
      <c r="E3" s="134"/>
      <c r="F3" s="132" t="s">
        <v>2</v>
      </c>
      <c r="G3" s="133"/>
      <c r="H3" s="133"/>
      <c r="I3" s="134"/>
      <c r="J3" s="132" t="s">
        <v>3</v>
      </c>
      <c r="K3" s="133"/>
      <c r="L3" s="133"/>
      <c r="M3" s="134"/>
    </row>
    <row r="4" spans="1:20" x14ac:dyDescent="0.25">
      <c r="B4" s="131" t="s">
        <v>4</v>
      </c>
      <c r="C4" s="131"/>
      <c r="D4" s="131" t="s">
        <v>5</v>
      </c>
      <c r="E4" s="131"/>
      <c r="F4" s="131" t="s">
        <v>4</v>
      </c>
      <c r="G4" s="131"/>
      <c r="H4" s="131" t="s">
        <v>5</v>
      </c>
      <c r="I4" s="131"/>
      <c r="J4" s="131" t="s">
        <v>4</v>
      </c>
      <c r="K4" s="131"/>
      <c r="L4" s="131" t="s">
        <v>5</v>
      </c>
      <c r="M4" s="131"/>
    </row>
    <row r="5" spans="1:20" ht="27.75" customHeight="1" x14ac:dyDescent="0.25">
      <c r="A5" s="2" t="s">
        <v>0</v>
      </c>
      <c r="B5" s="5" t="s">
        <v>6</v>
      </c>
      <c r="C5" s="5" t="s">
        <v>7</v>
      </c>
      <c r="D5" s="5" t="s">
        <v>6</v>
      </c>
      <c r="E5" s="5" t="s">
        <v>7</v>
      </c>
      <c r="F5" s="5" t="s">
        <v>6</v>
      </c>
      <c r="G5" s="5" t="s">
        <v>7</v>
      </c>
      <c r="H5" s="5" t="s">
        <v>6</v>
      </c>
      <c r="I5" s="5" t="s">
        <v>7</v>
      </c>
      <c r="J5" s="5" t="s">
        <v>6</v>
      </c>
      <c r="K5" s="5" t="s">
        <v>7</v>
      </c>
      <c r="L5" s="5" t="s">
        <v>6</v>
      </c>
      <c r="M5" s="5" t="s">
        <v>7</v>
      </c>
      <c r="N5" s="1" t="s">
        <v>15</v>
      </c>
      <c r="O5" s="1" t="s">
        <v>16</v>
      </c>
      <c r="P5" s="1" t="s">
        <v>17</v>
      </c>
      <c r="Q5" s="1" t="s">
        <v>18</v>
      </c>
      <c r="R5" s="1" t="s">
        <v>19</v>
      </c>
      <c r="T5" s="42"/>
    </row>
    <row r="6" spans="1:20" x14ac:dyDescent="0.25">
      <c r="A6" s="2">
        <v>50</v>
      </c>
      <c r="B6" s="3">
        <v>2956</v>
      </c>
      <c r="C6" s="3">
        <v>1497</v>
      </c>
      <c r="D6" s="3">
        <v>3980</v>
      </c>
      <c r="E6" s="3">
        <v>1796</v>
      </c>
      <c r="F6" s="3">
        <v>3084</v>
      </c>
      <c r="G6" s="3">
        <v>1360</v>
      </c>
      <c r="H6" s="3">
        <v>3347</v>
      </c>
      <c r="I6" s="3">
        <v>1632</v>
      </c>
      <c r="J6" s="3">
        <v>4730</v>
      </c>
      <c r="K6" s="3">
        <v>1657</v>
      </c>
      <c r="L6" s="3">
        <v>6293</v>
      </c>
      <c r="M6" s="3">
        <v>1988</v>
      </c>
      <c r="N6" s="117">
        <f t="shared" ref="N6:O12" si="0">B6*$D$25+D6*$D$29+F6*$D$24+H6*$D$28+J6*$D$23+L6*$D$27</f>
        <v>3826.8336003662162</v>
      </c>
      <c r="O6" s="117">
        <f t="shared" si="0"/>
        <v>1651.0965896086063</v>
      </c>
      <c r="P6" s="118">
        <f t="shared" ref="P6:P16" si="1">N6/A6</f>
        <v>76.536672007324327</v>
      </c>
      <c r="Q6" s="118">
        <f t="shared" ref="Q6:Q16" si="2">O6/A6</f>
        <v>33.021931792172126</v>
      </c>
      <c r="R6" s="118">
        <f t="shared" ref="R6:R18" si="3">P6-Q6</f>
        <v>43.514740215152202</v>
      </c>
      <c r="T6" s="11"/>
    </row>
    <row r="7" spans="1:20" x14ac:dyDescent="0.25">
      <c r="A7" s="2">
        <v>60</v>
      </c>
      <c r="B7" s="3">
        <v>3741</v>
      </c>
      <c r="C7" s="3">
        <v>1724</v>
      </c>
      <c r="D7" s="3">
        <v>5591</v>
      </c>
      <c r="E7" s="3">
        <v>2069</v>
      </c>
      <c r="F7" s="3">
        <v>3884</v>
      </c>
      <c r="G7" s="3">
        <v>1566</v>
      </c>
      <c r="H7" s="3">
        <v>4816</v>
      </c>
      <c r="I7" s="3">
        <v>1879</v>
      </c>
      <c r="J7" s="3">
        <v>5827</v>
      </c>
      <c r="K7" s="3">
        <v>1894</v>
      </c>
      <c r="L7" s="3">
        <v>7639</v>
      </c>
      <c r="M7" s="3">
        <v>2273</v>
      </c>
      <c r="N7" s="11">
        <f t="shared" si="0"/>
        <v>5162.7122911421375</v>
      </c>
      <c r="O7" s="11">
        <f t="shared" si="0"/>
        <v>1898.0828564888991</v>
      </c>
      <c r="P7" s="4">
        <f t="shared" si="1"/>
        <v>86.045204852368954</v>
      </c>
      <c r="Q7" s="4">
        <f t="shared" si="2"/>
        <v>31.634714274814986</v>
      </c>
      <c r="R7" s="4">
        <f t="shared" si="3"/>
        <v>54.410490577553972</v>
      </c>
      <c r="T7" s="11"/>
    </row>
    <row r="8" spans="1:20" x14ac:dyDescent="0.25">
      <c r="A8" s="2">
        <v>75</v>
      </c>
      <c r="B8" s="3">
        <v>4906</v>
      </c>
      <c r="C8" s="3">
        <v>2009</v>
      </c>
      <c r="D8" s="3">
        <v>6504</v>
      </c>
      <c r="E8" s="3">
        <v>2411</v>
      </c>
      <c r="F8" s="3">
        <v>4767</v>
      </c>
      <c r="G8" s="3">
        <v>1828</v>
      </c>
      <c r="H8" s="3">
        <v>5632</v>
      </c>
      <c r="I8" s="3">
        <v>2194</v>
      </c>
      <c r="J8" s="3">
        <v>7058</v>
      </c>
      <c r="K8" s="3">
        <v>2221</v>
      </c>
      <c r="L8" s="3">
        <v>8898</v>
      </c>
      <c r="M8" s="3">
        <v>2665</v>
      </c>
      <c r="N8" s="11">
        <f t="shared" si="0"/>
        <v>6084.6953536278334</v>
      </c>
      <c r="O8" s="11">
        <f t="shared" si="0"/>
        <v>2217.8947127489128</v>
      </c>
      <c r="P8" s="4">
        <f t="shared" si="1"/>
        <v>81.129271381704442</v>
      </c>
      <c r="Q8" s="4">
        <f t="shared" si="2"/>
        <v>29.571929503318838</v>
      </c>
      <c r="R8" s="4">
        <f t="shared" si="3"/>
        <v>51.5573418783856</v>
      </c>
      <c r="T8" s="11"/>
    </row>
    <row r="9" spans="1:20" x14ac:dyDescent="0.25">
      <c r="A9" s="2">
        <v>100</v>
      </c>
      <c r="B9" s="3">
        <v>5245</v>
      </c>
      <c r="C9" s="3">
        <v>2457</v>
      </c>
      <c r="D9" s="3">
        <v>8316</v>
      </c>
      <c r="E9" s="3">
        <v>2948</v>
      </c>
      <c r="F9" s="3">
        <v>5546</v>
      </c>
      <c r="G9" s="3">
        <v>2233</v>
      </c>
      <c r="H9" s="3">
        <v>6994</v>
      </c>
      <c r="I9" s="3">
        <v>2680</v>
      </c>
      <c r="J9" s="3">
        <v>7769</v>
      </c>
      <c r="K9" s="3">
        <v>2771</v>
      </c>
      <c r="L9" s="3">
        <v>10737</v>
      </c>
      <c r="M9" s="3">
        <v>3325</v>
      </c>
      <c r="N9" s="11">
        <f t="shared" si="0"/>
        <v>7401.0496681162731</v>
      </c>
      <c r="O9" s="11">
        <f t="shared" si="0"/>
        <v>2722.5017166399639</v>
      </c>
      <c r="P9" s="4">
        <f t="shared" si="1"/>
        <v>74.010496681162735</v>
      </c>
      <c r="Q9" s="4">
        <f t="shared" si="2"/>
        <v>27.225017166399638</v>
      </c>
      <c r="R9" s="4">
        <f t="shared" si="3"/>
        <v>46.785479514763097</v>
      </c>
      <c r="T9" s="11"/>
    </row>
    <row r="10" spans="1:20" x14ac:dyDescent="0.25">
      <c r="A10" s="2">
        <v>125</v>
      </c>
      <c r="B10" s="3">
        <v>6582</v>
      </c>
      <c r="C10" s="3">
        <v>2900</v>
      </c>
      <c r="D10" s="3">
        <v>10279</v>
      </c>
      <c r="E10" s="3">
        <v>3480</v>
      </c>
      <c r="F10" s="3">
        <v>6803</v>
      </c>
      <c r="G10" s="3">
        <v>2637</v>
      </c>
      <c r="H10" s="3">
        <v>8658</v>
      </c>
      <c r="I10" s="3">
        <v>3164</v>
      </c>
      <c r="J10" s="3">
        <v>8391</v>
      </c>
      <c r="K10" s="3">
        <v>3208</v>
      </c>
      <c r="L10" s="3">
        <v>12631</v>
      </c>
      <c r="M10" s="3">
        <v>3850</v>
      </c>
      <c r="N10" s="11">
        <f t="shared" si="0"/>
        <v>8978.8704509040963</v>
      </c>
      <c r="O10" s="11">
        <f t="shared" si="0"/>
        <v>3200.0503547722592</v>
      </c>
      <c r="P10" s="4">
        <f t="shared" si="1"/>
        <v>71.830963607232775</v>
      </c>
      <c r="Q10" s="4">
        <f t="shared" si="2"/>
        <v>25.600402838178073</v>
      </c>
      <c r="R10" s="4">
        <f t="shared" si="3"/>
        <v>46.230560769054705</v>
      </c>
      <c r="T10" s="11"/>
    </row>
    <row r="11" spans="1:20" x14ac:dyDescent="0.25">
      <c r="A11" s="2">
        <v>150</v>
      </c>
      <c r="B11" s="3">
        <v>8119</v>
      </c>
      <c r="C11" s="3">
        <v>3363</v>
      </c>
      <c r="D11" s="3">
        <v>12094</v>
      </c>
      <c r="E11" s="3">
        <v>4036</v>
      </c>
      <c r="F11" s="3">
        <v>7557</v>
      </c>
      <c r="G11" s="3">
        <v>3057</v>
      </c>
      <c r="H11" s="3">
        <v>9959</v>
      </c>
      <c r="I11" s="3">
        <v>3668</v>
      </c>
      <c r="J11" s="3">
        <v>9881</v>
      </c>
      <c r="K11" s="3">
        <v>3714</v>
      </c>
      <c r="L11" s="3">
        <v>14467</v>
      </c>
      <c r="M11" s="3">
        <v>4457</v>
      </c>
      <c r="N11" s="11">
        <f t="shared" si="0"/>
        <v>10323.405584802014</v>
      </c>
      <c r="O11" s="11">
        <f t="shared" si="0"/>
        <v>3708.756694895857</v>
      </c>
      <c r="P11" s="4">
        <f t="shared" si="1"/>
        <v>68.822703898680089</v>
      </c>
      <c r="Q11" s="4">
        <f t="shared" si="2"/>
        <v>24.725044632639047</v>
      </c>
      <c r="R11" s="4">
        <f t="shared" si="3"/>
        <v>44.097659266041042</v>
      </c>
      <c r="T11" s="11"/>
    </row>
    <row r="12" spans="1:20" x14ac:dyDescent="0.25">
      <c r="A12" s="2">
        <v>200</v>
      </c>
      <c r="B12" s="3">
        <v>9201</v>
      </c>
      <c r="C12" s="3">
        <v>4245</v>
      </c>
      <c r="D12" s="3">
        <v>14495</v>
      </c>
      <c r="E12" s="3">
        <v>5094</v>
      </c>
      <c r="F12" s="3">
        <v>9443</v>
      </c>
      <c r="G12" s="3">
        <v>3858</v>
      </c>
      <c r="H12" s="3">
        <v>14351</v>
      </c>
      <c r="I12" s="3">
        <v>4630</v>
      </c>
      <c r="J12" s="3">
        <v>12989</v>
      </c>
      <c r="K12" s="3">
        <v>4547</v>
      </c>
      <c r="L12" s="3">
        <v>17849</v>
      </c>
      <c r="M12" s="3">
        <v>5456</v>
      </c>
      <c r="N12" s="11">
        <f t="shared" si="0"/>
        <v>13962.458915083542</v>
      </c>
      <c r="O12" s="11">
        <f t="shared" si="0"/>
        <v>4649.4728770885786</v>
      </c>
      <c r="P12" s="4">
        <f t="shared" si="1"/>
        <v>69.81229457541771</v>
      </c>
      <c r="Q12" s="4">
        <f t="shared" si="2"/>
        <v>23.247364385442893</v>
      </c>
      <c r="R12" s="4">
        <f t="shared" si="3"/>
        <v>46.564930189974817</v>
      </c>
      <c r="T12" s="11"/>
    </row>
    <row r="13" spans="1:20" x14ac:dyDescent="0.25">
      <c r="A13" s="2">
        <v>250</v>
      </c>
      <c r="B13" s="3"/>
      <c r="C13" s="3"/>
      <c r="D13" s="3">
        <v>22631</v>
      </c>
      <c r="E13" s="3">
        <v>6102</v>
      </c>
      <c r="F13" s="3">
        <v>10590</v>
      </c>
      <c r="G13" s="3">
        <v>4621</v>
      </c>
      <c r="H13" s="3">
        <v>18896</v>
      </c>
      <c r="I13" s="3">
        <v>5545</v>
      </c>
      <c r="J13" s="3">
        <v>16716</v>
      </c>
      <c r="K13" s="3">
        <v>5327</v>
      </c>
      <c r="L13" s="3">
        <v>27247</v>
      </c>
      <c r="M13" s="3">
        <v>6392</v>
      </c>
      <c r="N13" s="11">
        <f>D13*($C$29/SUM($C$23:$C$24,$C$27:$C$29))+F13*($C$24/SUM($C$23:$C$24,$C$27:$C$29))+H13*($C$28/SUM($C$23:$C$24,$C$27:$C$29))+$J$8*($C$23/SUM($C$23:$C$24,$C$27:$C$29))+L13*($C$27/SUM($C$23:$C$24,$C$27:$C$29))</f>
        <v>18165.352330410704</v>
      </c>
      <c r="O13" s="11">
        <f>E13*($C$29/SUM($C$23:$C$24,$C$27:$C$29))+G13*($C$24/SUM($C$23:$C$24,$C$27:$C$29))+I13*($C$28/SUM($C$23:$C$24,$C$27:$C$29))+$J$8*($C$23/SUM($C$23:$C$24,$C$27:$C$29))+M13*($C$27/SUM($C$23:$C$24,$C$27:$C$29))</f>
        <v>5674.1239040147666</v>
      </c>
      <c r="P13" s="4">
        <f t="shared" si="1"/>
        <v>72.661409321642822</v>
      </c>
      <c r="Q13" s="4">
        <f t="shared" si="2"/>
        <v>22.696495616059067</v>
      </c>
      <c r="R13" s="4">
        <f t="shared" si="3"/>
        <v>49.964913705583754</v>
      </c>
      <c r="T13" s="11"/>
    </row>
    <row r="14" spans="1:20" x14ac:dyDescent="0.25">
      <c r="A14" s="2">
        <v>300</v>
      </c>
      <c r="B14" s="3"/>
      <c r="C14" s="3"/>
      <c r="D14" s="3">
        <v>33075</v>
      </c>
      <c r="E14" s="3">
        <v>7180</v>
      </c>
      <c r="F14" s="3">
        <v>16149</v>
      </c>
      <c r="G14" s="3">
        <v>5438</v>
      </c>
      <c r="H14" s="3">
        <v>26044</v>
      </c>
      <c r="I14" s="3">
        <v>6526</v>
      </c>
      <c r="J14" s="3">
        <v>18683</v>
      </c>
      <c r="K14" s="3">
        <v>6238</v>
      </c>
      <c r="L14" s="3">
        <v>27517</v>
      </c>
      <c r="M14" s="3">
        <v>7486</v>
      </c>
      <c r="N14" s="11">
        <f>D14*($C$29/SUM($C$23:$C$24,$C$27:$C$29))+F14*($C$24/SUM($C$23:$C$24,$C$27:$C$29))+H14*($C$28/SUM($C$23:$C$24,$C$27:$C$29))+$J$8*($C$23/SUM($C$23:$C$24,$C$27:$C$29))+L14*($C$27/SUM($C$23:$C$24,$C$27:$C$29))</f>
        <v>23926.206968158745</v>
      </c>
      <c r="O14" s="11">
        <f>E14*($C$29/SUM($C$23:$C$24,$C$27:$C$29))+G14*($C$24/SUM($C$23:$C$24,$C$27:$C$29))+I14*($C$28/SUM($C$23:$C$24,$C$27:$C$29))+$J$8*($C$23/SUM($C$23:$C$24,$C$27:$C$29))+M14*($C$27/SUM($C$23:$C$24,$C$27:$C$29))</f>
        <v>6580.3202584217806</v>
      </c>
      <c r="P14" s="4">
        <f t="shared" si="1"/>
        <v>79.754023227195816</v>
      </c>
      <c r="Q14" s="4">
        <f t="shared" si="2"/>
        <v>21.934400861405937</v>
      </c>
      <c r="R14" s="4">
        <f t="shared" si="3"/>
        <v>57.819622365789883</v>
      </c>
      <c r="T14" s="11"/>
    </row>
    <row r="15" spans="1:20" x14ac:dyDescent="0.25">
      <c r="A15" s="2">
        <v>350</v>
      </c>
      <c r="B15" s="3"/>
      <c r="C15" s="3"/>
      <c r="D15" s="3">
        <v>39700</v>
      </c>
      <c r="E15" s="3">
        <v>8029</v>
      </c>
      <c r="F15" s="3"/>
      <c r="G15" s="3"/>
      <c r="H15" s="3">
        <v>31252</v>
      </c>
      <c r="I15" s="3">
        <v>7298</v>
      </c>
      <c r="J15" s="3"/>
      <c r="K15" s="3"/>
      <c r="L15" s="3"/>
      <c r="M15" s="3"/>
      <c r="N15" s="11">
        <f>D15*($C$29/($C$29+$C$28))+H15*($C$28/($C$28+$C$29))</f>
        <v>32216.125396266289</v>
      </c>
      <c r="O15" s="11">
        <f>E15*($C$29/($C$29+$C$28))+I15*($C$28/($C$28+$C$29))</f>
        <v>7381.425149700598</v>
      </c>
      <c r="P15" s="4">
        <f t="shared" si="1"/>
        <v>92.04607256076082</v>
      </c>
      <c r="Q15" s="4">
        <f t="shared" si="2"/>
        <v>21.08978614200171</v>
      </c>
      <c r="R15" s="4">
        <f t="shared" si="3"/>
        <v>70.956286418759106</v>
      </c>
      <c r="T15" s="11"/>
    </row>
    <row r="16" spans="1:20" x14ac:dyDescent="0.25">
      <c r="A16" s="2">
        <v>400</v>
      </c>
      <c r="B16" s="3"/>
      <c r="C16" s="3"/>
      <c r="D16" s="3">
        <v>46466</v>
      </c>
      <c r="E16" s="3">
        <v>8765</v>
      </c>
      <c r="F16" s="3"/>
      <c r="G16" s="3"/>
      <c r="H16" s="3">
        <v>39034</v>
      </c>
      <c r="I16" s="3">
        <v>7970</v>
      </c>
      <c r="J16" s="3"/>
      <c r="K16" s="3"/>
      <c r="L16" s="3"/>
      <c r="M16" s="3"/>
      <c r="N16" s="11">
        <f>D16*($C$29/($C$29+$C$28))+H16*($C$28/($C$28+$C$29))</f>
        <v>39882.174709404717</v>
      </c>
      <c r="O16" s="11">
        <f>E16*($C$29/($C$29+$C$28))+I16*($C$28/($C$28+$C$29))</f>
        <v>8060.7291299753433</v>
      </c>
      <c r="P16" s="4">
        <f t="shared" si="1"/>
        <v>99.705436773511792</v>
      </c>
      <c r="Q16" s="4">
        <f t="shared" si="2"/>
        <v>20.151822824938357</v>
      </c>
      <c r="R16" s="4">
        <f t="shared" si="3"/>
        <v>79.553613948573428</v>
      </c>
      <c r="T16" s="11"/>
    </row>
    <row r="17" spans="1:20" s="42" customFormat="1" x14ac:dyDescent="0.25">
      <c r="A17" s="123">
        <v>450</v>
      </c>
      <c r="B17" s="124" t="s">
        <v>112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1">
        <f>N16</f>
        <v>39882.174709404717</v>
      </c>
      <c r="O17" s="11">
        <f>O16</f>
        <v>8060.7291299753433</v>
      </c>
      <c r="P17" s="4">
        <f>P16</f>
        <v>99.705436773511792</v>
      </c>
      <c r="Q17" s="4">
        <f>Q16</f>
        <v>20.151822824938357</v>
      </c>
      <c r="R17" s="4">
        <f t="shared" si="3"/>
        <v>79.553613948573428</v>
      </c>
      <c r="T17" s="11"/>
    </row>
    <row r="18" spans="1:20" s="42" customFormat="1" x14ac:dyDescent="0.25">
      <c r="A18" s="123">
        <v>500</v>
      </c>
      <c r="B18" s="124" t="s">
        <v>112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1">
        <f>N16</f>
        <v>39882.174709404717</v>
      </c>
      <c r="O18" s="11">
        <f>O16</f>
        <v>8060.7291299753433</v>
      </c>
      <c r="P18" s="4">
        <f>P16</f>
        <v>99.705436773511792</v>
      </c>
      <c r="Q18" s="4">
        <f>Q16</f>
        <v>20.151822824938357</v>
      </c>
      <c r="R18" s="4">
        <f t="shared" si="3"/>
        <v>79.553613948573428</v>
      </c>
      <c r="T18" s="11"/>
    </row>
    <row r="20" spans="1:20" s="42" customFormat="1" x14ac:dyDescent="0.25">
      <c r="A20" t="s">
        <v>123</v>
      </c>
    </row>
    <row r="22" spans="1:20" ht="45" x14ac:dyDescent="0.25">
      <c r="A22" s="6" t="s">
        <v>8</v>
      </c>
      <c r="B22" s="6" t="s">
        <v>9</v>
      </c>
      <c r="C22" s="6" t="s">
        <v>10</v>
      </c>
      <c r="D22" s="6" t="s">
        <v>11</v>
      </c>
    </row>
    <row r="23" spans="1:20" x14ac:dyDescent="0.25">
      <c r="A23" s="128" t="s">
        <v>4</v>
      </c>
      <c r="B23" s="7">
        <v>1200</v>
      </c>
      <c r="C23" s="7">
        <v>322</v>
      </c>
      <c r="D23" s="9">
        <v>7.3701075761043719E-2</v>
      </c>
    </row>
    <row r="24" spans="1:20" x14ac:dyDescent="0.25">
      <c r="A24" s="129"/>
      <c r="B24" s="7">
        <v>1800</v>
      </c>
      <c r="C24" s="7">
        <v>622</v>
      </c>
      <c r="D24" s="9">
        <v>0.14236667429617761</v>
      </c>
    </row>
    <row r="25" spans="1:20" x14ac:dyDescent="0.25">
      <c r="A25" s="129"/>
      <c r="B25" s="7">
        <v>3600</v>
      </c>
      <c r="C25" s="7">
        <v>35</v>
      </c>
      <c r="D25" s="9">
        <v>8.0109864957656207E-3</v>
      </c>
    </row>
    <row r="26" spans="1:20" x14ac:dyDescent="0.25">
      <c r="A26" s="130"/>
      <c r="B26" s="8" t="s">
        <v>12</v>
      </c>
      <c r="C26" s="8">
        <v>979</v>
      </c>
      <c r="D26" s="10">
        <v>0.22407873655298696</v>
      </c>
    </row>
    <row r="27" spans="1:20" x14ac:dyDescent="0.25">
      <c r="A27" s="128" t="s">
        <v>5</v>
      </c>
      <c r="B27" s="7">
        <v>1200</v>
      </c>
      <c r="C27" s="7">
        <v>551</v>
      </c>
      <c r="D27" s="9">
        <v>0.12611581597619592</v>
      </c>
    </row>
    <row r="28" spans="1:20" x14ac:dyDescent="0.25">
      <c r="A28" s="129"/>
      <c r="B28" s="7">
        <v>1800</v>
      </c>
      <c r="C28" s="7">
        <v>2515</v>
      </c>
      <c r="D28" s="9">
        <v>0.57564660105287246</v>
      </c>
    </row>
    <row r="29" spans="1:20" x14ac:dyDescent="0.25">
      <c r="A29" s="129"/>
      <c r="B29" s="7">
        <v>3600</v>
      </c>
      <c r="C29" s="7">
        <v>324</v>
      </c>
      <c r="D29" s="9">
        <v>7.415884641794461E-2</v>
      </c>
    </row>
    <row r="30" spans="1:20" x14ac:dyDescent="0.25">
      <c r="A30" s="130"/>
      <c r="B30" s="8" t="s">
        <v>13</v>
      </c>
      <c r="C30" s="8">
        <v>3390</v>
      </c>
      <c r="D30" s="10">
        <v>0.77592126344701307</v>
      </c>
    </row>
    <row r="31" spans="1:20" x14ac:dyDescent="0.25">
      <c r="A31" s="8" t="s">
        <v>14</v>
      </c>
      <c r="B31" s="8"/>
      <c r="C31" s="8">
        <v>4369</v>
      </c>
      <c r="D31" s="10">
        <v>1</v>
      </c>
    </row>
  </sheetData>
  <sortState ref="A6:T16">
    <sortCondition ref="A6:A16"/>
  </sortState>
  <mergeCells count="11">
    <mergeCell ref="A23:A26"/>
    <mergeCell ref="A27:A30"/>
    <mergeCell ref="L4:M4"/>
    <mergeCell ref="B3:E3"/>
    <mergeCell ref="F3:I3"/>
    <mergeCell ref="J3:M3"/>
    <mergeCell ref="D4:E4"/>
    <mergeCell ref="H4:I4"/>
    <mergeCell ref="J4:K4"/>
    <mergeCell ref="B4:C4"/>
    <mergeCell ref="F4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workbookViewId="0">
      <selection activeCell="B21" sqref="B21"/>
    </sheetView>
  </sheetViews>
  <sheetFormatPr defaultRowHeight="15" x14ac:dyDescent="0.25"/>
  <cols>
    <col min="10" max="10" width="13.85546875" customWidth="1"/>
    <col min="14" max="14" width="13.28515625" customWidth="1"/>
  </cols>
  <sheetData>
    <row r="2" spans="2:18" x14ac:dyDescent="0.25">
      <c r="B2" s="14"/>
      <c r="C2" s="135" t="s">
        <v>20</v>
      </c>
      <c r="D2" s="135"/>
      <c r="E2" s="135"/>
      <c r="F2" s="135"/>
      <c r="G2" s="135"/>
      <c r="H2" s="135"/>
      <c r="I2" s="135"/>
      <c r="J2" s="135"/>
      <c r="K2" s="14"/>
      <c r="L2" s="14"/>
      <c r="M2" s="14"/>
      <c r="N2" s="14"/>
      <c r="O2" s="14"/>
      <c r="P2" s="14"/>
      <c r="Q2" s="14"/>
      <c r="R2" s="14"/>
    </row>
    <row r="3" spans="2:18" x14ac:dyDescent="0.25">
      <c r="B3" s="15"/>
      <c r="C3" s="136" t="s">
        <v>21</v>
      </c>
      <c r="D3" s="136"/>
      <c r="E3" s="136"/>
      <c r="F3" s="136"/>
      <c r="G3" s="136" t="s">
        <v>22</v>
      </c>
      <c r="H3" s="136"/>
      <c r="I3" s="136"/>
      <c r="J3" s="136"/>
      <c r="K3" s="14"/>
      <c r="L3" s="14"/>
      <c r="M3" s="14"/>
      <c r="N3" s="14"/>
      <c r="O3" s="14"/>
      <c r="P3" s="14"/>
      <c r="Q3" s="14"/>
      <c r="R3" s="14"/>
    </row>
    <row r="4" spans="2:18" ht="45" x14ac:dyDescent="0.25">
      <c r="B4" s="15"/>
      <c r="C4" s="18" t="s">
        <v>23</v>
      </c>
      <c r="D4" s="18" t="s">
        <v>24</v>
      </c>
      <c r="E4" s="18" t="s">
        <v>25</v>
      </c>
      <c r="F4" s="137" t="s">
        <v>26</v>
      </c>
      <c r="G4" s="18" t="s">
        <v>23</v>
      </c>
      <c r="H4" s="18" t="s">
        <v>24</v>
      </c>
      <c r="I4" s="18" t="s">
        <v>25</v>
      </c>
      <c r="J4" s="137" t="s">
        <v>26</v>
      </c>
      <c r="K4" s="14"/>
      <c r="L4" s="14"/>
      <c r="M4" s="14"/>
      <c r="N4" s="19" t="s">
        <v>8</v>
      </c>
      <c r="O4" s="19" t="s">
        <v>9</v>
      </c>
      <c r="P4" s="19" t="s">
        <v>10</v>
      </c>
      <c r="Q4" s="19" t="s">
        <v>11</v>
      </c>
      <c r="R4" s="14"/>
    </row>
    <row r="5" spans="2:18" x14ac:dyDescent="0.25">
      <c r="B5" s="18" t="s">
        <v>27</v>
      </c>
      <c r="C5" s="18">
        <v>1200</v>
      </c>
      <c r="D5" s="18">
        <v>1800</v>
      </c>
      <c r="E5" s="18">
        <v>3600</v>
      </c>
      <c r="F5" s="138"/>
      <c r="G5" s="18">
        <v>1200</v>
      </c>
      <c r="H5" s="18">
        <v>1800</v>
      </c>
      <c r="I5" s="18">
        <v>3600</v>
      </c>
      <c r="J5" s="138"/>
      <c r="K5" s="14"/>
      <c r="L5" s="14"/>
      <c r="M5" s="14"/>
      <c r="N5" s="24" t="s">
        <v>4</v>
      </c>
      <c r="O5" s="20">
        <v>1200</v>
      </c>
      <c r="P5" s="20">
        <v>322</v>
      </c>
      <c r="Q5" s="22">
        <v>7.3701075761043719E-2</v>
      </c>
      <c r="R5" s="14"/>
    </row>
    <row r="6" spans="2:18" x14ac:dyDescent="0.25">
      <c r="B6" s="16">
        <v>50</v>
      </c>
      <c r="C6" s="17">
        <v>94.1</v>
      </c>
      <c r="D6" s="17">
        <v>94.5</v>
      </c>
      <c r="E6" s="17">
        <v>93</v>
      </c>
      <c r="F6" s="17">
        <f t="shared" ref="F6:F13" si="0">ROUND((($P$5/$P$8)*C6)+(($P$6/$P$8)*D6)+(($P$7/$P$8)*E6),1)</f>
        <v>94.3</v>
      </c>
      <c r="G6" s="17">
        <v>94.1</v>
      </c>
      <c r="H6" s="17">
        <v>94.5</v>
      </c>
      <c r="I6" s="17">
        <v>93</v>
      </c>
      <c r="J6" s="17">
        <f t="shared" ref="J6:J13" si="1">ROUND((($P$9/$P$12)*G6)+(($P$10/$P$12)*H6)+(($P$11/$P$12)*I6),1)</f>
        <v>94.3</v>
      </c>
      <c r="K6" s="14"/>
      <c r="L6" s="14"/>
      <c r="M6" s="14"/>
      <c r="N6" s="25"/>
      <c r="O6" s="20">
        <v>1800</v>
      </c>
      <c r="P6" s="20">
        <v>622</v>
      </c>
      <c r="Q6" s="22">
        <v>0.14236667429617761</v>
      </c>
      <c r="R6" s="14"/>
    </row>
    <row r="7" spans="2:18" x14ac:dyDescent="0.25">
      <c r="B7" s="16">
        <v>60</v>
      </c>
      <c r="C7" s="17">
        <v>94.5</v>
      </c>
      <c r="D7" s="17">
        <v>95</v>
      </c>
      <c r="E7" s="17">
        <v>93.6</v>
      </c>
      <c r="F7" s="17">
        <f t="shared" si="0"/>
        <v>94.8</v>
      </c>
      <c r="G7" s="17">
        <v>94.5</v>
      </c>
      <c r="H7" s="17">
        <v>95</v>
      </c>
      <c r="I7" s="17">
        <v>93.6</v>
      </c>
      <c r="J7" s="17">
        <f t="shared" si="1"/>
        <v>94.8</v>
      </c>
      <c r="K7" s="14"/>
      <c r="L7" s="14"/>
      <c r="M7" s="14"/>
      <c r="N7" s="25"/>
      <c r="O7" s="20">
        <v>3600</v>
      </c>
      <c r="P7" s="20">
        <v>35</v>
      </c>
      <c r="Q7" s="22">
        <v>8.0109864957656207E-3</v>
      </c>
      <c r="R7" s="14"/>
    </row>
    <row r="8" spans="2:18" x14ac:dyDescent="0.25">
      <c r="B8" s="16">
        <v>75</v>
      </c>
      <c r="C8" s="17">
        <v>94.5</v>
      </c>
      <c r="D8" s="17">
        <v>95</v>
      </c>
      <c r="E8" s="17">
        <v>93.6</v>
      </c>
      <c r="F8" s="17">
        <f t="shared" si="0"/>
        <v>94.8</v>
      </c>
      <c r="G8" s="17">
        <v>94.5</v>
      </c>
      <c r="H8" s="17">
        <v>95.4</v>
      </c>
      <c r="I8" s="17">
        <v>93.6</v>
      </c>
      <c r="J8" s="17">
        <f t="shared" si="1"/>
        <v>95.1</v>
      </c>
      <c r="K8" s="14"/>
      <c r="L8" s="14"/>
      <c r="M8" s="14"/>
      <c r="N8" s="26"/>
      <c r="O8" s="21" t="s">
        <v>12</v>
      </c>
      <c r="P8" s="21">
        <v>979</v>
      </c>
      <c r="Q8" s="23">
        <v>0.22407873655298696</v>
      </c>
      <c r="R8" s="14"/>
    </row>
    <row r="9" spans="2:18" x14ac:dyDescent="0.25">
      <c r="B9" s="16">
        <v>100</v>
      </c>
      <c r="C9" s="17">
        <v>95</v>
      </c>
      <c r="D9" s="17">
        <v>95.4</v>
      </c>
      <c r="E9" s="17">
        <v>93.6</v>
      </c>
      <c r="F9" s="17">
        <f t="shared" si="0"/>
        <v>95.2</v>
      </c>
      <c r="G9" s="17">
        <v>95</v>
      </c>
      <c r="H9" s="17">
        <v>95.4</v>
      </c>
      <c r="I9" s="17">
        <v>94.1</v>
      </c>
      <c r="J9" s="17">
        <f t="shared" si="1"/>
        <v>95.2</v>
      </c>
      <c r="K9" s="14"/>
      <c r="L9" s="14"/>
      <c r="M9" s="14"/>
      <c r="N9" s="128" t="s">
        <v>5</v>
      </c>
      <c r="O9" s="20">
        <v>1200</v>
      </c>
      <c r="P9" s="20">
        <v>551</v>
      </c>
      <c r="Q9" s="22">
        <v>0.12611581597619592</v>
      </c>
      <c r="R9" s="14"/>
    </row>
    <row r="10" spans="2:18" x14ac:dyDescent="0.25">
      <c r="B10" s="16">
        <v>125</v>
      </c>
      <c r="C10" s="17">
        <v>95</v>
      </c>
      <c r="D10" s="17">
        <v>95.4</v>
      </c>
      <c r="E10" s="17">
        <v>94.1</v>
      </c>
      <c r="F10" s="17">
        <f t="shared" si="0"/>
        <v>95.2</v>
      </c>
      <c r="G10" s="17">
        <v>95</v>
      </c>
      <c r="H10" s="17">
        <v>95.4</v>
      </c>
      <c r="I10" s="17">
        <v>95</v>
      </c>
      <c r="J10" s="17">
        <f t="shared" si="1"/>
        <v>95.3</v>
      </c>
      <c r="K10" s="14"/>
      <c r="L10" s="14"/>
      <c r="M10" s="14"/>
      <c r="N10" s="129"/>
      <c r="O10" s="20">
        <v>1800</v>
      </c>
      <c r="P10" s="20">
        <v>2515</v>
      </c>
      <c r="Q10" s="22">
        <v>0.57564660105287246</v>
      </c>
      <c r="R10" s="14"/>
    </row>
    <row r="11" spans="2:18" x14ac:dyDescent="0.25">
      <c r="B11" s="16">
        <v>150</v>
      </c>
      <c r="C11" s="17">
        <v>95.4</v>
      </c>
      <c r="D11" s="17">
        <v>95.8</v>
      </c>
      <c r="E11" s="17">
        <v>94.1</v>
      </c>
      <c r="F11" s="17">
        <f t="shared" si="0"/>
        <v>95.6</v>
      </c>
      <c r="G11" s="17">
        <v>95.8</v>
      </c>
      <c r="H11" s="17">
        <v>95.8</v>
      </c>
      <c r="I11" s="17">
        <v>95</v>
      </c>
      <c r="J11" s="17">
        <f t="shared" si="1"/>
        <v>95.7</v>
      </c>
      <c r="K11" s="14"/>
      <c r="L11" s="14"/>
      <c r="M11" s="14"/>
      <c r="N11" s="129"/>
      <c r="O11" s="20">
        <v>3600</v>
      </c>
      <c r="P11" s="20">
        <v>324</v>
      </c>
      <c r="Q11" s="22">
        <v>7.415884641794461E-2</v>
      </c>
      <c r="R11" s="14"/>
    </row>
    <row r="12" spans="2:18" x14ac:dyDescent="0.25">
      <c r="B12" s="16">
        <v>200</v>
      </c>
      <c r="C12" s="17">
        <v>95.4</v>
      </c>
      <c r="D12" s="17">
        <v>95.8</v>
      </c>
      <c r="E12" s="17">
        <v>95</v>
      </c>
      <c r="F12" s="17">
        <f t="shared" si="0"/>
        <v>95.6</v>
      </c>
      <c r="G12" s="17">
        <v>95.8</v>
      </c>
      <c r="H12" s="17">
        <v>96.2</v>
      </c>
      <c r="I12" s="17">
        <v>95.4</v>
      </c>
      <c r="J12" s="17">
        <f t="shared" si="1"/>
        <v>96.1</v>
      </c>
      <c r="K12" s="14"/>
      <c r="L12" s="14"/>
      <c r="M12" s="14"/>
      <c r="N12" s="130"/>
      <c r="O12" s="21" t="s">
        <v>13</v>
      </c>
      <c r="P12" s="21">
        <v>3390</v>
      </c>
      <c r="Q12" s="23">
        <v>0.77592126344701307</v>
      </c>
      <c r="R12" s="14"/>
    </row>
    <row r="13" spans="2:18" x14ac:dyDescent="0.25">
      <c r="B13" s="12">
        <v>250</v>
      </c>
      <c r="C13" s="13">
        <v>95.8</v>
      </c>
      <c r="D13" s="13">
        <v>95.8</v>
      </c>
      <c r="E13" s="13">
        <v>95</v>
      </c>
      <c r="F13" s="17">
        <f t="shared" si="0"/>
        <v>95.8</v>
      </c>
      <c r="G13" s="20">
        <v>95.8</v>
      </c>
      <c r="H13" s="20">
        <v>96.2</v>
      </c>
      <c r="I13" s="20">
        <v>95.8</v>
      </c>
      <c r="J13" s="17">
        <f t="shared" si="1"/>
        <v>96.1</v>
      </c>
      <c r="N13" s="21" t="s">
        <v>14</v>
      </c>
      <c r="O13" s="21"/>
      <c r="P13" s="21">
        <v>4369</v>
      </c>
      <c r="Q13" s="23">
        <v>1</v>
      </c>
    </row>
    <row r="14" spans="2:18" x14ac:dyDescent="0.25">
      <c r="B14" s="12">
        <v>300</v>
      </c>
      <c r="C14" s="20"/>
      <c r="D14" s="13">
        <v>95.8</v>
      </c>
      <c r="E14" s="13">
        <v>95.4</v>
      </c>
      <c r="F14" s="20">
        <f>ROUND(D14*($P$6/SUM($P$6:$P$7))+E14*($P$7/SUM($P$6:$P$7)),1)</f>
        <v>95.8</v>
      </c>
      <c r="G14" s="20"/>
      <c r="H14" s="20">
        <v>96.2</v>
      </c>
      <c r="I14" s="20">
        <v>95.8</v>
      </c>
      <c r="J14" s="20">
        <f>ROUND(H14*($P$10/SUM($P$10:$P$11))+I14*($P$11/SUM($P$10:$P$11)),1)</f>
        <v>96.2</v>
      </c>
    </row>
    <row r="15" spans="2:18" x14ac:dyDescent="0.25">
      <c r="B15" s="12">
        <v>350</v>
      </c>
      <c r="C15" s="20"/>
      <c r="D15" s="13">
        <v>95.8</v>
      </c>
      <c r="E15" s="13">
        <v>95.4</v>
      </c>
      <c r="F15" s="20">
        <f>ROUND(D15*($P$6/SUM($P$6:$P$7))+E15*($P$7/SUM($P$6:$P$7)),1)</f>
        <v>95.8</v>
      </c>
      <c r="G15" s="20"/>
      <c r="H15" s="20">
        <v>96.2</v>
      </c>
      <c r="I15" s="20">
        <v>95.8</v>
      </c>
      <c r="J15" s="20">
        <f>ROUND(H15*($P$10/SUM($P$10:$P$11))+I15*($P$11/SUM($P$10:$P$11)),1)</f>
        <v>96.2</v>
      </c>
      <c r="K15" s="14"/>
      <c r="L15" s="14"/>
      <c r="M15" s="14"/>
      <c r="R15" s="14"/>
    </row>
    <row r="16" spans="2:18" x14ac:dyDescent="0.25">
      <c r="B16" s="12">
        <v>400</v>
      </c>
      <c r="C16" s="20"/>
      <c r="D16" s="13">
        <v>95.8</v>
      </c>
      <c r="E16" s="13">
        <v>95.8</v>
      </c>
      <c r="F16" s="20">
        <f>ROUND(D16*($P$6/SUM($P$6:$P$7))+E16*($P$7/SUM($P$6:$P$7)),1)</f>
        <v>95.8</v>
      </c>
      <c r="G16" s="20"/>
      <c r="H16" s="20">
        <v>96.2</v>
      </c>
      <c r="I16" s="20">
        <v>95.8</v>
      </c>
      <c r="J16" s="20">
        <f>ROUND(H16*($P$10/SUM($P$10:$P$11))+I16*($P$11/SUM($P$10:$P$11)),1)</f>
        <v>96.2</v>
      </c>
    </row>
    <row r="17" spans="2:10" x14ac:dyDescent="0.25">
      <c r="B17" s="12">
        <v>450</v>
      </c>
      <c r="C17" s="20"/>
      <c r="D17" s="13">
        <v>96.2</v>
      </c>
      <c r="E17" s="13">
        <v>96.2</v>
      </c>
      <c r="F17" s="20">
        <f>ROUND(D17*($P$6/SUM($P$6:$P$7))+E17*($P$7/SUM($P$6:$P$7)),1)</f>
        <v>96.2</v>
      </c>
      <c r="G17" s="20"/>
      <c r="H17" s="20">
        <v>96.2</v>
      </c>
      <c r="I17" s="20">
        <v>95.8</v>
      </c>
      <c r="J17" s="20">
        <f>ROUND(H17*($P$10/SUM($P$10:$P$11))+I17*($P$11/SUM($P$10:$P$11)),1)</f>
        <v>96.2</v>
      </c>
    </row>
    <row r="18" spans="2:10" x14ac:dyDescent="0.25">
      <c r="B18" s="12">
        <v>500</v>
      </c>
      <c r="C18" s="20"/>
      <c r="D18" s="13">
        <v>96.2</v>
      </c>
      <c r="E18" s="13">
        <v>96.2</v>
      </c>
      <c r="F18" s="20">
        <f>ROUND(D18*($P$6/SUM($P$6:$P$7))+E18*($P$7/SUM($P$6:$P$7)),1)</f>
        <v>96.2</v>
      </c>
      <c r="G18" s="20"/>
      <c r="H18" s="20">
        <v>96.2</v>
      </c>
      <c r="I18" s="20">
        <v>95.8</v>
      </c>
      <c r="J18" s="20">
        <f>ROUND(H18*($P$10/SUM($P$10:$P$11))+I18*($P$11/SUM($P$10:$P$11)),1)</f>
        <v>96.2</v>
      </c>
    </row>
    <row r="24" spans="2:10" x14ac:dyDescent="0.25">
      <c r="B24" s="14" t="s">
        <v>61</v>
      </c>
    </row>
  </sheetData>
  <mergeCells count="6">
    <mergeCell ref="C2:J2"/>
    <mergeCell ref="C3:F3"/>
    <mergeCell ref="G3:J3"/>
    <mergeCell ref="N9:N12"/>
    <mergeCell ref="F4:F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F36" sqref="F36"/>
    </sheetView>
  </sheetViews>
  <sheetFormatPr defaultRowHeight="15" x14ac:dyDescent="0.25"/>
  <cols>
    <col min="6" max="6" width="9.85546875" customWidth="1"/>
    <col min="10" max="10" width="13.140625" customWidth="1"/>
    <col min="14" max="14" width="11.42578125" customWidth="1"/>
    <col min="15" max="17" width="9.140625" customWidth="1"/>
  </cols>
  <sheetData>
    <row r="1" spans="1:17" x14ac:dyDescent="0.25">
      <c r="A1" s="27"/>
    </row>
    <row r="2" spans="1:17" ht="15" customHeight="1" x14ac:dyDescent="0.25">
      <c r="B2" s="28"/>
      <c r="C2" s="135" t="s">
        <v>60</v>
      </c>
      <c r="D2" s="135"/>
      <c r="E2" s="135"/>
      <c r="F2" s="135"/>
      <c r="G2" s="135"/>
      <c r="H2" s="135"/>
      <c r="I2" s="135"/>
      <c r="J2" s="135"/>
      <c r="K2" s="28"/>
      <c r="L2" s="28"/>
      <c r="M2" s="28"/>
      <c r="N2" s="28"/>
      <c r="O2" s="28"/>
      <c r="P2" s="28"/>
      <c r="Q2" s="28"/>
    </row>
    <row r="3" spans="1:17" x14ac:dyDescent="0.25">
      <c r="B3" s="29"/>
      <c r="C3" s="136" t="s">
        <v>21</v>
      </c>
      <c r="D3" s="136"/>
      <c r="E3" s="136"/>
      <c r="F3" s="136"/>
      <c r="G3" s="136" t="s">
        <v>22</v>
      </c>
      <c r="H3" s="136"/>
      <c r="I3" s="136"/>
      <c r="J3" s="136"/>
      <c r="K3" s="28"/>
      <c r="L3" s="28"/>
      <c r="M3" s="28"/>
      <c r="N3" s="28"/>
      <c r="O3" s="28"/>
      <c r="P3" s="28"/>
      <c r="Q3" s="28"/>
    </row>
    <row r="4" spans="1:17" ht="45" x14ac:dyDescent="0.25">
      <c r="B4" s="29"/>
      <c r="C4" s="32" t="s">
        <v>23</v>
      </c>
      <c r="D4" s="32" t="s">
        <v>24</v>
      </c>
      <c r="E4" s="32" t="s">
        <v>25</v>
      </c>
      <c r="F4" s="137" t="s">
        <v>26</v>
      </c>
      <c r="G4" s="32" t="s">
        <v>23</v>
      </c>
      <c r="H4" s="32" t="s">
        <v>24</v>
      </c>
      <c r="I4" s="32" t="s">
        <v>25</v>
      </c>
      <c r="J4" s="137" t="s">
        <v>26</v>
      </c>
      <c r="K4" s="28"/>
      <c r="L4" s="28"/>
      <c r="M4" s="28"/>
      <c r="N4" s="45" t="s">
        <v>8</v>
      </c>
      <c r="O4" s="45" t="s">
        <v>9</v>
      </c>
      <c r="P4" s="45" t="s">
        <v>10</v>
      </c>
      <c r="Q4" s="45" t="s">
        <v>11</v>
      </c>
    </row>
    <row r="5" spans="1:17" x14ac:dyDescent="0.25">
      <c r="B5" s="32" t="s">
        <v>27</v>
      </c>
      <c r="C5" s="32">
        <v>1200</v>
      </c>
      <c r="D5" s="32">
        <v>1800</v>
      </c>
      <c r="E5" s="32">
        <v>3600</v>
      </c>
      <c r="F5" s="138"/>
      <c r="G5" s="32">
        <v>1200</v>
      </c>
      <c r="H5" s="32">
        <v>1800</v>
      </c>
      <c r="I5" s="32">
        <v>3600</v>
      </c>
      <c r="J5" s="138"/>
      <c r="K5" s="28"/>
      <c r="L5" s="28"/>
      <c r="M5" s="28"/>
      <c r="N5" s="52" t="s">
        <v>4</v>
      </c>
      <c r="O5" s="46">
        <v>1200</v>
      </c>
      <c r="P5" s="46">
        <v>322</v>
      </c>
      <c r="Q5" s="50">
        <v>7.3701075761043719E-2</v>
      </c>
    </row>
    <row r="6" spans="1:17" x14ac:dyDescent="0.25">
      <c r="B6" s="30">
        <v>50</v>
      </c>
      <c r="C6" s="30">
        <v>93</v>
      </c>
      <c r="D6" s="30">
        <v>93</v>
      </c>
      <c r="E6" s="30">
        <v>92.4</v>
      </c>
      <c r="F6" s="31">
        <f>ROUND((($P$5/$P$8)*C6)+(($P$6/$P$8)*D6)+(($P$7/$P$8)*E6),1)</f>
        <v>93</v>
      </c>
      <c r="G6" s="30">
        <v>93</v>
      </c>
      <c r="H6" s="30">
        <v>93</v>
      </c>
      <c r="I6" s="30">
        <v>92.4</v>
      </c>
      <c r="J6" s="44">
        <f>(($P$9/$P$12)*G6)+(($P$10/$P$12)*H6)+(($P$11/$P$12)*I6)</f>
        <v>92.942654867256635</v>
      </c>
      <c r="N6" s="53"/>
      <c r="O6" s="46">
        <v>1800</v>
      </c>
      <c r="P6" s="46">
        <v>622</v>
      </c>
      <c r="Q6" s="50">
        <v>0.14236667429617761</v>
      </c>
    </row>
    <row r="7" spans="1:17" x14ac:dyDescent="0.25">
      <c r="B7" s="30">
        <v>60</v>
      </c>
      <c r="C7" s="30">
        <v>93.6</v>
      </c>
      <c r="D7" s="30">
        <v>93.6</v>
      </c>
      <c r="E7" s="30">
        <v>93</v>
      </c>
      <c r="F7" s="44">
        <f t="shared" ref="F7:F15" si="0">ROUND((($P$5/$P$8)*C7)+(($P$6/$P$8)*D7)+(($P$7/$P$8)*E7),1)</f>
        <v>93.6</v>
      </c>
      <c r="G7" s="30">
        <v>93.6</v>
      </c>
      <c r="H7" s="30">
        <v>93.6</v>
      </c>
      <c r="I7" s="30">
        <v>93</v>
      </c>
      <c r="J7" s="44">
        <f t="shared" ref="J7:J15" si="1">(($P$9/$P$12)*G7)+(($P$10/$P$12)*H7)+(($P$11/$P$12)*I7)</f>
        <v>93.54265486725663</v>
      </c>
      <c r="N7" s="53"/>
      <c r="O7" s="46">
        <v>3600</v>
      </c>
      <c r="P7" s="46">
        <v>35</v>
      </c>
      <c r="Q7" s="50">
        <v>8.0109864957656207E-3</v>
      </c>
    </row>
    <row r="8" spans="1:17" x14ac:dyDescent="0.25">
      <c r="B8" s="30">
        <v>75</v>
      </c>
      <c r="C8" s="30">
        <v>93.6</v>
      </c>
      <c r="D8" s="30">
        <v>94.1</v>
      </c>
      <c r="E8" s="30">
        <v>93</v>
      </c>
      <c r="F8" s="44">
        <f t="shared" si="0"/>
        <v>93.9</v>
      </c>
      <c r="G8" s="30">
        <v>93.6</v>
      </c>
      <c r="H8" s="30">
        <v>94.1</v>
      </c>
      <c r="I8" s="30">
        <v>93</v>
      </c>
      <c r="J8" s="44">
        <f t="shared" si="1"/>
        <v>93.913598820058994</v>
      </c>
      <c r="N8" s="54"/>
      <c r="O8" s="49" t="s">
        <v>12</v>
      </c>
      <c r="P8" s="49">
        <v>979</v>
      </c>
      <c r="Q8" s="51">
        <v>0.22407873655298696</v>
      </c>
    </row>
    <row r="9" spans="1:17" x14ac:dyDescent="0.25">
      <c r="B9" s="30">
        <v>100</v>
      </c>
      <c r="C9" s="30">
        <v>94.1</v>
      </c>
      <c r="D9" s="30">
        <v>94.1</v>
      </c>
      <c r="E9" s="30">
        <v>93</v>
      </c>
      <c r="F9" s="44">
        <f t="shared" si="0"/>
        <v>94.1</v>
      </c>
      <c r="G9" s="30">
        <v>94.1</v>
      </c>
      <c r="H9" s="30">
        <v>94.5</v>
      </c>
      <c r="I9" s="30">
        <v>93.6</v>
      </c>
      <c r="J9" s="44">
        <f t="shared" si="1"/>
        <v>94.348967551622422</v>
      </c>
      <c r="N9" s="52" t="s">
        <v>5</v>
      </c>
      <c r="O9" s="46">
        <v>1200</v>
      </c>
      <c r="P9" s="46">
        <v>551</v>
      </c>
      <c r="Q9" s="50">
        <v>0.12611581597619592</v>
      </c>
    </row>
    <row r="10" spans="1:17" x14ac:dyDescent="0.25">
      <c r="B10" s="30">
        <v>125</v>
      </c>
      <c r="C10" s="30">
        <v>94.1</v>
      </c>
      <c r="D10" s="30">
        <v>94.5</v>
      </c>
      <c r="E10" s="30">
        <v>93.6</v>
      </c>
      <c r="F10" s="44">
        <f t="shared" si="0"/>
        <v>94.3</v>
      </c>
      <c r="G10" s="30">
        <v>94.1</v>
      </c>
      <c r="H10" s="30">
        <v>94.5</v>
      </c>
      <c r="I10" s="30">
        <v>94.5</v>
      </c>
      <c r="J10" s="44">
        <f t="shared" si="1"/>
        <v>94.434985250737469</v>
      </c>
      <c r="N10" s="53"/>
      <c r="O10" s="46">
        <v>1800</v>
      </c>
      <c r="P10" s="46">
        <v>2515</v>
      </c>
      <c r="Q10" s="50">
        <v>0.57564660105287246</v>
      </c>
    </row>
    <row r="11" spans="1:17" x14ac:dyDescent="0.25">
      <c r="B11" s="30">
        <v>150</v>
      </c>
      <c r="C11" s="30">
        <v>94.5</v>
      </c>
      <c r="D11" s="30">
        <v>95</v>
      </c>
      <c r="E11" s="30">
        <v>93.6</v>
      </c>
      <c r="F11" s="44">
        <f t="shared" si="0"/>
        <v>94.8</v>
      </c>
      <c r="G11" s="30">
        <v>95</v>
      </c>
      <c r="H11" s="30">
        <v>95</v>
      </c>
      <c r="I11" s="30">
        <v>94.5</v>
      </c>
      <c r="J11" s="44">
        <f t="shared" si="1"/>
        <v>94.95221238938052</v>
      </c>
      <c r="N11" s="53"/>
      <c r="O11" s="46">
        <v>3600</v>
      </c>
      <c r="P11" s="46">
        <v>324</v>
      </c>
      <c r="Q11" s="50">
        <v>7.415884641794461E-2</v>
      </c>
    </row>
    <row r="12" spans="1:17" x14ac:dyDescent="0.25">
      <c r="B12" s="30">
        <v>200</v>
      </c>
      <c r="C12" s="30">
        <v>94.5</v>
      </c>
      <c r="D12" s="30">
        <v>95</v>
      </c>
      <c r="E12" s="30">
        <v>94.5</v>
      </c>
      <c r="F12" s="44">
        <f t="shared" si="0"/>
        <v>94.8</v>
      </c>
      <c r="G12" s="30">
        <v>95</v>
      </c>
      <c r="H12" s="30">
        <v>95</v>
      </c>
      <c r="I12" s="30">
        <v>95</v>
      </c>
      <c r="J12" s="44">
        <f t="shared" si="1"/>
        <v>95</v>
      </c>
      <c r="N12" s="54"/>
      <c r="O12" s="49" t="s">
        <v>13</v>
      </c>
      <c r="P12" s="49">
        <v>3390</v>
      </c>
      <c r="Q12" s="51">
        <v>0.77592126344701307</v>
      </c>
    </row>
    <row r="13" spans="1:17" x14ac:dyDescent="0.25">
      <c r="B13" s="12">
        <v>250</v>
      </c>
      <c r="C13" s="12">
        <v>95.4</v>
      </c>
      <c r="D13" s="12">
        <v>94.4</v>
      </c>
      <c r="E13" s="12">
        <v>94.5</v>
      </c>
      <c r="F13" s="44">
        <f t="shared" si="0"/>
        <v>94.7</v>
      </c>
      <c r="G13" s="12">
        <v>95</v>
      </c>
      <c r="H13" s="12">
        <v>95</v>
      </c>
      <c r="I13" s="12">
        <v>95.4</v>
      </c>
      <c r="J13" s="44">
        <f t="shared" si="1"/>
        <v>95.038230088495567</v>
      </c>
      <c r="N13" s="33" t="s">
        <v>14</v>
      </c>
      <c r="O13" s="33"/>
      <c r="P13" s="33">
        <v>4369</v>
      </c>
      <c r="Q13" s="34">
        <v>1</v>
      </c>
    </row>
    <row r="14" spans="1:17" x14ac:dyDescent="0.25">
      <c r="B14" s="12">
        <v>300</v>
      </c>
      <c r="C14" s="12">
        <v>95.4</v>
      </c>
      <c r="D14" s="12">
        <v>95.4</v>
      </c>
      <c r="E14" s="12">
        <v>95</v>
      </c>
      <c r="F14" s="44">
        <f t="shared" si="0"/>
        <v>95.4</v>
      </c>
      <c r="G14" s="12">
        <v>95</v>
      </c>
      <c r="H14" s="12">
        <v>95.4</v>
      </c>
      <c r="I14" s="12">
        <v>95.4</v>
      </c>
      <c r="J14" s="44">
        <f t="shared" si="1"/>
        <v>95.334985250737461</v>
      </c>
    </row>
    <row r="15" spans="1:17" x14ac:dyDescent="0.25">
      <c r="B15" s="12">
        <v>350</v>
      </c>
      <c r="C15" s="12">
        <v>95.4</v>
      </c>
      <c r="D15" s="12">
        <v>95.4</v>
      </c>
      <c r="E15" s="12">
        <v>95</v>
      </c>
      <c r="F15" s="44">
        <f t="shared" si="0"/>
        <v>95.4</v>
      </c>
      <c r="G15" s="12">
        <v>95</v>
      </c>
      <c r="H15" s="12">
        <v>95.4</v>
      </c>
      <c r="I15" s="12">
        <v>95.4</v>
      </c>
      <c r="J15" s="44">
        <f t="shared" si="1"/>
        <v>95.334985250737461</v>
      </c>
    </row>
    <row r="16" spans="1:17" x14ac:dyDescent="0.25">
      <c r="B16" s="12">
        <v>400</v>
      </c>
      <c r="C16" s="48"/>
      <c r="D16" s="12">
        <v>95.4</v>
      </c>
      <c r="E16" s="12">
        <v>95.4</v>
      </c>
      <c r="F16" s="46">
        <f>ROUND(D16*($P$6/SUM($P$6:$P$7))+E16*($P$7/SUM($P$6:$P$7)),1)</f>
        <v>95.4</v>
      </c>
      <c r="G16" s="48"/>
      <c r="H16" s="12">
        <v>95.4</v>
      </c>
      <c r="I16" s="12">
        <v>95.4</v>
      </c>
      <c r="J16" s="46">
        <f>ROUND(H16*($P$10/SUM($P$10:$P$11))+I16*($P$11/SUM($P$10:$P$11)),1)</f>
        <v>95.4</v>
      </c>
    </row>
    <row r="17" spans="2:10" x14ac:dyDescent="0.25">
      <c r="B17" s="12">
        <v>450</v>
      </c>
      <c r="C17" s="48"/>
      <c r="D17" s="12">
        <v>95.8</v>
      </c>
      <c r="E17" s="12">
        <v>95.8</v>
      </c>
      <c r="F17" s="46">
        <f>ROUND(D17*($P$6/SUM($P$6:$P$7))+E17*($P$7/SUM($P$6:$P$7)),1)</f>
        <v>95.8</v>
      </c>
      <c r="G17" s="48"/>
      <c r="H17" s="12">
        <v>95.4</v>
      </c>
      <c r="I17" s="12">
        <v>95.4</v>
      </c>
      <c r="J17" s="46">
        <f>ROUND(H17*($P$10/SUM($P$10:$P$11))+I17*($P$11/SUM($P$10:$P$11)),1)</f>
        <v>95.4</v>
      </c>
    </row>
    <row r="18" spans="2:10" x14ac:dyDescent="0.25">
      <c r="B18" s="12">
        <v>500</v>
      </c>
      <c r="C18" s="48"/>
      <c r="D18" s="12">
        <v>95.8</v>
      </c>
      <c r="E18" s="12">
        <v>95.8</v>
      </c>
      <c r="F18" s="46">
        <f>ROUND(D18*($P$6/SUM($P$6:$P$7))+E18*($P$7/SUM($P$6:$P$7)),1)</f>
        <v>95.8</v>
      </c>
      <c r="G18" s="48"/>
      <c r="H18" s="12">
        <v>95.8</v>
      </c>
      <c r="I18" s="12">
        <v>95.4</v>
      </c>
      <c r="J18" s="46">
        <f>ROUND(H18*($P$10/SUM($P$10:$P$11))+I18*($P$11/SUM($P$10:$P$11)),1)</f>
        <v>95.8</v>
      </c>
    </row>
    <row r="22" spans="2:10" x14ac:dyDescent="0.25">
      <c r="B22" s="42" t="s">
        <v>62</v>
      </c>
    </row>
  </sheetData>
  <mergeCells count="5">
    <mergeCell ref="C2:J2"/>
    <mergeCell ref="C3:F3"/>
    <mergeCell ref="G3:J3"/>
    <mergeCell ref="F4:F5"/>
    <mergeCell ref="J4:J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34"/>
  <sheetViews>
    <sheetView topLeftCell="A10" workbookViewId="0">
      <selection activeCell="H16" sqref="H16"/>
    </sheetView>
  </sheetViews>
  <sheetFormatPr defaultRowHeight="15" x14ac:dyDescent="0.25"/>
  <cols>
    <col min="2" max="2" width="12.28515625" customWidth="1"/>
    <col min="3" max="3" width="13.28515625" customWidth="1"/>
    <col min="5" max="5" width="9" bestFit="1" customWidth="1"/>
    <col min="10" max="10" width="12.140625" customWidth="1"/>
    <col min="11" max="11" width="16.42578125" customWidth="1"/>
  </cols>
  <sheetData>
    <row r="4" spans="2:11" ht="47.25" customHeight="1" x14ac:dyDescent="0.25">
      <c r="B4" s="142" t="s">
        <v>28</v>
      </c>
      <c r="C4" s="142"/>
      <c r="D4" s="35"/>
      <c r="E4" s="139" t="s">
        <v>29</v>
      </c>
      <c r="F4" s="140"/>
      <c r="G4" s="140"/>
      <c r="H4" s="141"/>
      <c r="I4" s="35"/>
      <c r="J4" s="142" t="s">
        <v>30</v>
      </c>
      <c r="K4" s="142"/>
    </row>
    <row r="5" spans="2:11" ht="60" x14ac:dyDescent="0.25">
      <c r="B5" s="38" t="s">
        <v>31</v>
      </c>
      <c r="C5" s="38" t="s">
        <v>32</v>
      </c>
      <c r="D5" s="36"/>
      <c r="E5" s="38" t="s">
        <v>31</v>
      </c>
      <c r="F5" s="38" t="s">
        <v>33</v>
      </c>
      <c r="G5" s="38" t="s">
        <v>34</v>
      </c>
      <c r="H5" s="38" t="s">
        <v>35</v>
      </c>
      <c r="I5" s="35"/>
      <c r="J5" s="38" t="s">
        <v>31</v>
      </c>
      <c r="K5" s="38" t="s">
        <v>33</v>
      </c>
    </row>
    <row r="6" spans="2:11" x14ac:dyDescent="0.25">
      <c r="B6" s="39" t="s">
        <v>36</v>
      </c>
      <c r="C6" s="39">
        <v>2745</v>
      </c>
      <c r="D6" s="36"/>
      <c r="E6" s="39" t="s">
        <v>37</v>
      </c>
      <c r="F6" s="39">
        <v>2076</v>
      </c>
      <c r="G6" s="39">
        <v>0.36</v>
      </c>
      <c r="H6" s="39">
        <v>747</v>
      </c>
      <c r="I6" s="35"/>
      <c r="J6" s="39" t="s">
        <v>38</v>
      </c>
      <c r="K6" s="39">
        <v>1750</v>
      </c>
    </row>
    <row r="7" spans="2:11" x14ac:dyDescent="0.25">
      <c r="B7" s="39" t="s">
        <v>39</v>
      </c>
      <c r="C7" s="39">
        <v>3391</v>
      </c>
      <c r="D7" s="36"/>
      <c r="E7" s="39" t="s">
        <v>40</v>
      </c>
      <c r="F7" s="39">
        <v>2820</v>
      </c>
      <c r="G7" s="39">
        <v>0.36</v>
      </c>
      <c r="H7" s="39">
        <v>1015</v>
      </c>
      <c r="I7" s="35"/>
      <c r="J7" s="35"/>
      <c r="K7" s="35"/>
    </row>
    <row r="8" spans="2:11" x14ac:dyDescent="0.25">
      <c r="B8" s="39" t="s">
        <v>41</v>
      </c>
      <c r="C8" s="39">
        <v>3391</v>
      </c>
      <c r="D8" s="36"/>
      <c r="E8" s="35"/>
      <c r="F8" s="35"/>
      <c r="G8" s="35"/>
      <c r="H8" s="35"/>
      <c r="I8" s="35"/>
      <c r="J8" s="35"/>
      <c r="K8" s="35"/>
    </row>
    <row r="9" spans="2:11" x14ac:dyDescent="0.25">
      <c r="B9" s="39" t="s">
        <v>42</v>
      </c>
      <c r="C9" s="39">
        <v>4067</v>
      </c>
      <c r="D9" s="36"/>
      <c r="E9" s="35"/>
      <c r="F9" s="35"/>
      <c r="G9" s="35"/>
      <c r="H9" s="35"/>
      <c r="I9" s="35"/>
      <c r="J9" s="35"/>
      <c r="K9" s="35"/>
    </row>
    <row r="10" spans="2:11" x14ac:dyDescent="0.25">
      <c r="B10" s="39" t="s">
        <v>43</v>
      </c>
      <c r="C10" s="39">
        <v>5329</v>
      </c>
      <c r="D10" s="36"/>
      <c r="E10" s="35"/>
      <c r="F10" s="35"/>
      <c r="G10" s="35"/>
      <c r="H10" s="35"/>
      <c r="I10" s="35"/>
      <c r="J10" s="35"/>
      <c r="K10" s="35"/>
    </row>
    <row r="11" spans="2:11" x14ac:dyDescent="0.25">
      <c r="B11" s="39" t="s">
        <v>44</v>
      </c>
      <c r="C11" s="39">
        <v>5200</v>
      </c>
      <c r="D11" s="36"/>
      <c r="E11" s="35"/>
      <c r="F11" s="35"/>
      <c r="G11" s="35"/>
      <c r="H11" s="35"/>
      <c r="I11" s="35"/>
      <c r="J11" s="35"/>
      <c r="K11" s="35"/>
    </row>
    <row r="12" spans="2:11" s="42" customFormat="1" x14ac:dyDescent="0.25">
      <c r="B12" s="46" t="s">
        <v>59</v>
      </c>
      <c r="C12" s="46">
        <v>6132</v>
      </c>
      <c r="D12" s="43"/>
    </row>
    <row r="15" spans="2:11" x14ac:dyDescent="0.25">
      <c r="B15" s="135" t="s">
        <v>45</v>
      </c>
      <c r="C15" s="135"/>
      <c r="D15" s="135"/>
      <c r="E15" s="135"/>
      <c r="F15" s="35"/>
      <c r="G15" s="35"/>
      <c r="H15" s="35"/>
      <c r="I15" s="35"/>
      <c r="J15" s="35"/>
      <c r="K15" s="35"/>
    </row>
    <row r="16" spans="2:11" ht="75" x14ac:dyDescent="0.25">
      <c r="B16" s="38" t="s">
        <v>46</v>
      </c>
      <c r="C16" s="38" t="s">
        <v>47</v>
      </c>
      <c r="D16" s="38" t="s">
        <v>48</v>
      </c>
      <c r="E16" s="38" t="s">
        <v>49</v>
      </c>
      <c r="F16" s="35"/>
      <c r="G16" s="35"/>
      <c r="H16" s="35"/>
      <c r="I16" s="35"/>
      <c r="J16" s="35"/>
      <c r="K16" s="35"/>
    </row>
    <row r="17" spans="2:11" x14ac:dyDescent="0.25">
      <c r="B17" s="39" t="s">
        <v>50</v>
      </c>
      <c r="C17" s="40">
        <v>0.69</v>
      </c>
      <c r="D17" s="40">
        <v>0.22</v>
      </c>
      <c r="E17" s="47">
        <f>ROUND((C17*D17)/SUMPRODUCT($C$17:$C$19,$D$17:$D$19),2)</f>
        <v>0.43</v>
      </c>
      <c r="F17" s="35"/>
      <c r="G17" s="35"/>
      <c r="H17" s="35"/>
      <c r="I17" s="35"/>
      <c r="J17" s="35"/>
      <c r="K17" s="35"/>
    </row>
    <row r="18" spans="2:11" x14ac:dyDescent="0.25">
      <c r="B18" s="39" t="s">
        <v>51</v>
      </c>
      <c r="C18" s="40">
        <v>0.21</v>
      </c>
      <c r="D18" s="40">
        <v>0.56999999999999995</v>
      </c>
      <c r="E18" s="47">
        <f>ROUND((C18*D18)/SUMPRODUCT($C$17:$C$19,$D$17:$D$19),2)</f>
        <v>0.34</v>
      </c>
    </row>
    <row r="19" spans="2:11" x14ac:dyDescent="0.25">
      <c r="B19" s="39" t="s">
        <v>52</v>
      </c>
      <c r="C19" s="40">
        <v>0.1</v>
      </c>
      <c r="D19" s="40">
        <v>0.8</v>
      </c>
      <c r="E19" s="47">
        <f>ROUND((C19*D19)/SUMPRODUCT($C$17:$C$19,$D$17:$D$19),2)</f>
        <v>0.23</v>
      </c>
    </row>
    <row r="20" spans="2:11" x14ac:dyDescent="0.25">
      <c r="B20" s="35"/>
      <c r="C20" s="35"/>
      <c r="D20" s="41"/>
      <c r="E20" s="41"/>
    </row>
    <row r="22" spans="2:11" x14ac:dyDescent="0.25">
      <c r="B22" s="143" t="s">
        <v>53</v>
      </c>
      <c r="C22" s="143"/>
      <c r="D22" s="35"/>
      <c r="E22" s="35"/>
    </row>
    <row r="23" spans="2:11" ht="30" x14ac:dyDescent="0.25">
      <c r="B23" s="38" t="s">
        <v>31</v>
      </c>
      <c r="C23" s="38" t="s">
        <v>54</v>
      </c>
      <c r="D23" s="35"/>
      <c r="E23" s="35"/>
    </row>
    <row r="24" spans="2:11" x14ac:dyDescent="0.25">
      <c r="B24" s="37" t="s">
        <v>36</v>
      </c>
      <c r="C24" s="37">
        <f>ROUND(($E$18*C6)+($E$17*$H$6)+($E$19*$K$6),0)</f>
        <v>1657</v>
      </c>
      <c r="D24" s="35"/>
      <c r="E24" s="35"/>
    </row>
    <row r="25" spans="2:11" x14ac:dyDescent="0.25">
      <c r="B25" s="37" t="s">
        <v>39</v>
      </c>
      <c r="C25" s="37">
        <f>ROUND(($E$18*C7)+($E$17*$H$6)+($E$19*$K$6),0)</f>
        <v>1877</v>
      </c>
      <c r="D25" s="35"/>
      <c r="E25" s="35"/>
    </row>
    <row r="26" spans="2:11" x14ac:dyDescent="0.25">
      <c r="B26" s="37" t="s">
        <v>41</v>
      </c>
      <c r="C26" s="37">
        <f>ROUND(($E$18*C8)+($E$17*$H$7)+($E$19*$K$6),0)</f>
        <v>1992</v>
      </c>
      <c r="D26" s="35"/>
      <c r="E26" s="35"/>
    </row>
    <row r="27" spans="2:11" x14ac:dyDescent="0.25">
      <c r="B27" s="37" t="s">
        <v>55</v>
      </c>
      <c r="C27" s="37">
        <f>ROUND(($E$18*C9)+($E$17*$H$7)+($E$19*$K$6),0)</f>
        <v>2222</v>
      </c>
      <c r="D27" s="35"/>
      <c r="E27" s="35"/>
    </row>
    <row r="28" spans="2:11" x14ac:dyDescent="0.25">
      <c r="B28" s="37" t="s">
        <v>56</v>
      </c>
      <c r="C28" s="37">
        <f>ROUND(($E$18*C9)+($E$17*$H$7)+($E$19*$K$6),0)</f>
        <v>2222</v>
      </c>
      <c r="D28" s="35"/>
      <c r="E28" s="35"/>
    </row>
    <row r="29" spans="2:11" x14ac:dyDescent="0.25">
      <c r="B29" s="37" t="s">
        <v>43</v>
      </c>
      <c r="C29" s="37">
        <f>ROUND(($E$18*C10)+($E$17*$H$7)+($E$19*$K$6),0)</f>
        <v>2651</v>
      </c>
      <c r="D29" s="35"/>
      <c r="E29" s="35"/>
    </row>
    <row r="30" spans="2:11" x14ac:dyDescent="0.25">
      <c r="B30" s="37" t="s">
        <v>44</v>
      </c>
      <c r="C30" s="37">
        <f>ROUND(($E$18*C11)+($E$17*$H$7)+($E$19*$K$6),0)</f>
        <v>2607</v>
      </c>
      <c r="D30" s="35"/>
      <c r="E30" s="35"/>
    </row>
    <row r="31" spans="2:11" s="35" customFormat="1" x14ac:dyDescent="0.25">
      <c r="B31" s="37" t="s">
        <v>59</v>
      </c>
      <c r="C31" s="37">
        <f>ROUND(E18*C12+E17*H7+E19*K6,0)</f>
        <v>2924</v>
      </c>
    </row>
    <row r="33" spans="2:5" x14ac:dyDescent="0.25">
      <c r="B33" s="35" t="s">
        <v>57</v>
      </c>
      <c r="C33" s="35"/>
      <c r="D33" s="35"/>
      <c r="E33" s="35"/>
    </row>
    <row r="34" spans="2:5" x14ac:dyDescent="0.25">
      <c r="B34" s="35" t="s">
        <v>58</v>
      </c>
      <c r="C34" s="35"/>
      <c r="D34" s="35"/>
      <c r="E34" s="35"/>
    </row>
  </sheetData>
  <mergeCells count="5">
    <mergeCell ref="E4:H4"/>
    <mergeCell ref="J4:K4"/>
    <mergeCell ref="B15:E15"/>
    <mergeCell ref="B22:C2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9"/>
  <sheetViews>
    <sheetView tabSelected="1" workbookViewId="0">
      <selection activeCell="L27" sqref="L27"/>
    </sheetView>
  </sheetViews>
  <sheetFormatPr defaultRowHeight="15" x14ac:dyDescent="0.25"/>
  <sheetData>
    <row r="2" spans="2:17" x14ac:dyDescent="0.25">
      <c r="B2" s="135" t="s">
        <v>124</v>
      </c>
      <c r="C2" s="135"/>
      <c r="D2" s="135"/>
      <c r="E2" s="135"/>
      <c r="F2" s="135"/>
      <c r="G2" s="135"/>
      <c r="H2" s="145"/>
      <c r="I2" s="135" t="s">
        <v>125</v>
      </c>
      <c r="J2" s="135"/>
      <c r="K2" s="135"/>
      <c r="L2" s="135"/>
      <c r="M2" s="145"/>
      <c r="N2" s="145"/>
      <c r="O2" s="145"/>
      <c r="P2" s="145"/>
      <c r="Q2" s="145"/>
    </row>
    <row r="3" spans="2:17" ht="60" x14ac:dyDescent="0.25">
      <c r="B3" s="153" t="s">
        <v>0</v>
      </c>
      <c r="C3" s="153" t="s">
        <v>126</v>
      </c>
      <c r="D3" s="153" t="s">
        <v>127</v>
      </c>
      <c r="E3" s="153" t="s">
        <v>10</v>
      </c>
      <c r="F3" s="153" t="s">
        <v>128</v>
      </c>
      <c r="G3" s="153" t="s">
        <v>129</v>
      </c>
      <c r="H3" s="145"/>
      <c r="I3" s="153" t="s">
        <v>8</v>
      </c>
      <c r="J3" s="153" t="s">
        <v>9</v>
      </c>
      <c r="K3" s="153" t="s">
        <v>10</v>
      </c>
      <c r="L3" s="153" t="s">
        <v>11</v>
      </c>
      <c r="M3" s="145"/>
      <c r="N3" s="145"/>
      <c r="O3" s="147"/>
      <c r="P3" s="147"/>
      <c r="Q3" s="147"/>
    </row>
    <row r="4" spans="2:17" x14ac:dyDescent="0.25">
      <c r="B4" s="151">
        <v>1</v>
      </c>
      <c r="C4" s="151">
        <v>15</v>
      </c>
      <c r="D4" s="151">
        <v>412</v>
      </c>
      <c r="E4" s="151">
        <v>427</v>
      </c>
      <c r="F4" s="152">
        <v>0.04</v>
      </c>
      <c r="G4" s="152">
        <v>0.96</v>
      </c>
      <c r="H4" s="145"/>
      <c r="I4" s="144" t="s">
        <v>4</v>
      </c>
      <c r="J4" s="151">
        <v>1200</v>
      </c>
      <c r="K4" s="151">
        <v>322</v>
      </c>
      <c r="L4" s="157">
        <v>7.3701075761043719E-2</v>
      </c>
      <c r="M4" s="145"/>
      <c r="N4" s="145"/>
      <c r="O4" s="146"/>
      <c r="P4" s="145"/>
      <c r="Q4" s="145"/>
    </row>
    <row r="5" spans="2:17" x14ac:dyDescent="0.25">
      <c r="B5" s="151">
        <v>1.5</v>
      </c>
      <c r="C5" s="151">
        <v>31</v>
      </c>
      <c r="D5" s="151">
        <v>138</v>
      </c>
      <c r="E5" s="151">
        <v>169</v>
      </c>
      <c r="F5" s="152">
        <v>0.18</v>
      </c>
      <c r="G5" s="152">
        <v>0.82</v>
      </c>
      <c r="H5" s="145"/>
      <c r="I5" s="129"/>
      <c r="J5" s="151">
        <v>1800</v>
      </c>
      <c r="K5" s="151">
        <v>622</v>
      </c>
      <c r="L5" s="157">
        <v>0.14236667429617761</v>
      </c>
      <c r="M5" s="145"/>
      <c r="N5" s="145"/>
      <c r="O5" s="146"/>
      <c r="P5" s="145"/>
      <c r="Q5" s="145"/>
    </row>
    <row r="6" spans="2:17" x14ac:dyDescent="0.25">
      <c r="B6" s="151">
        <v>2</v>
      </c>
      <c r="C6" s="151">
        <v>34</v>
      </c>
      <c r="D6" s="151">
        <v>183</v>
      </c>
      <c r="E6" s="151">
        <v>217</v>
      </c>
      <c r="F6" s="152">
        <v>0.16</v>
      </c>
      <c r="G6" s="152">
        <v>0.84</v>
      </c>
      <c r="H6" s="145"/>
      <c r="I6" s="129"/>
      <c r="J6" s="151">
        <v>3600</v>
      </c>
      <c r="K6" s="151">
        <v>35</v>
      </c>
      <c r="L6" s="157">
        <v>8.0109864957656207E-3</v>
      </c>
      <c r="M6" s="145"/>
      <c r="N6" s="145"/>
      <c r="O6" s="146"/>
      <c r="P6" s="145"/>
      <c r="Q6" s="145"/>
    </row>
    <row r="7" spans="2:17" x14ac:dyDescent="0.25">
      <c r="B7" s="151">
        <v>3</v>
      </c>
      <c r="C7" s="151">
        <v>48</v>
      </c>
      <c r="D7" s="151">
        <v>217</v>
      </c>
      <c r="E7" s="151">
        <v>265</v>
      </c>
      <c r="F7" s="152">
        <v>0.18</v>
      </c>
      <c r="G7" s="152">
        <v>0.82</v>
      </c>
      <c r="H7" s="145"/>
      <c r="I7" s="130"/>
      <c r="J7" s="155" t="s">
        <v>12</v>
      </c>
      <c r="K7" s="155">
        <v>979</v>
      </c>
      <c r="L7" s="158">
        <v>0.22407873655298696</v>
      </c>
      <c r="M7" s="145"/>
      <c r="N7" s="145"/>
      <c r="O7" s="146"/>
      <c r="P7" s="145"/>
      <c r="Q7" s="145"/>
    </row>
    <row r="8" spans="2:17" x14ac:dyDescent="0.25">
      <c r="B8" s="151">
        <v>5</v>
      </c>
      <c r="C8" s="151">
        <v>111</v>
      </c>
      <c r="D8" s="151">
        <v>421</v>
      </c>
      <c r="E8" s="151">
        <v>532</v>
      </c>
      <c r="F8" s="152">
        <v>0.21</v>
      </c>
      <c r="G8" s="152">
        <v>0.79</v>
      </c>
      <c r="H8" s="145"/>
      <c r="I8" s="144" t="s">
        <v>5</v>
      </c>
      <c r="J8" s="151">
        <v>1200</v>
      </c>
      <c r="K8" s="151">
        <v>551</v>
      </c>
      <c r="L8" s="157">
        <v>0.12611581597619592</v>
      </c>
      <c r="M8" s="145"/>
      <c r="N8" s="145"/>
      <c r="O8" s="146"/>
      <c r="P8" s="145"/>
      <c r="Q8" s="145"/>
    </row>
    <row r="9" spans="2:17" x14ac:dyDescent="0.25">
      <c r="B9" s="151">
        <v>7.5</v>
      </c>
      <c r="C9" s="151">
        <v>96</v>
      </c>
      <c r="D9" s="151">
        <v>321</v>
      </c>
      <c r="E9" s="151">
        <v>417</v>
      </c>
      <c r="F9" s="152">
        <v>0.23</v>
      </c>
      <c r="G9" s="152">
        <v>0.77</v>
      </c>
      <c r="H9" s="145"/>
      <c r="I9" s="129"/>
      <c r="J9" s="151">
        <v>1800</v>
      </c>
      <c r="K9" s="151">
        <v>2515</v>
      </c>
      <c r="L9" s="157">
        <v>0.57564660105287246</v>
      </c>
      <c r="M9" s="145"/>
      <c r="N9" s="145"/>
      <c r="O9" s="146"/>
      <c r="P9" s="145"/>
      <c r="Q9" s="145"/>
    </row>
    <row r="10" spans="2:17" x14ac:dyDescent="0.25">
      <c r="B10" s="151">
        <v>10</v>
      </c>
      <c r="C10" s="151">
        <v>65</v>
      </c>
      <c r="D10" s="151">
        <v>410</v>
      </c>
      <c r="E10" s="151">
        <v>475</v>
      </c>
      <c r="F10" s="152">
        <v>0.14000000000000001</v>
      </c>
      <c r="G10" s="152">
        <v>0.86</v>
      </c>
      <c r="H10" s="145"/>
      <c r="I10" s="129"/>
      <c r="J10" s="151">
        <v>3600</v>
      </c>
      <c r="K10" s="151">
        <v>324</v>
      </c>
      <c r="L10" s="157">
        <v>7.415884641794461E-2</v>
      </c>
      <c r="M10" s="145"/>
      <c r="N10" s="145"/>
      <c r="O10" s="146"/>
      <c r="P10" s="145"/>
      <c r="Q10" s="145"/>
    </row>
    <row r="11" spans="2:17" x14ac:dyDescent="0.25">
      <c r="B11" s="151">
        <v>15</v>
      </c>
      <c r="C11" s="151">
        <v>113</v>
      </c>
      <c r="D11" s="151">
        <v>210</v>
      </c>
      <c r="E11" s="151">
        <v>323</v>
      </c>
      <c r="F11" s="152">
        <v>0.35</v>
      </c>
      <c r="G11" s="152">
        <v>0.65</v>
      </c>
      <c r="H11" s="145"/>
      <c r="I11" s="130"/>
      <c r="J11" s="155" t="s">
        <v>13</v>
      </c>
      <c r="K11" s="155">
        <v>3390</v>
      </c>
      <c r="L11" s="158">
        <v>0.77592126344701307</v>
      </c>
      <c r="M11" s="145"/>
      <c r="N11" s="145"/>
      <c r="O11" s="146"/>
      <c r="P11" s="145"/>
      <c r="Q11" s="145"/>
    </row>
    <row r="12" spans="2:17" x14ac:dyDescent="0.25">
      <c r="B12" s="151">
        <v>20</v>
      </c>
      <c r="C12" s="151">
        <v>52</v>
      </c>
      <c r="D12" s="151">
        <v>295</v>
      </c>
      <c r="E12" s="151">
        <v>347</v>
      </c>
      <c r="F12" s="152">
        <v>0.15</v>
      </c>
      <c r="G12" s="152">
        <v>0.85</v>
      </c>
      <c r="H12" s="145"/>
      <c r="I12" s="155" t="s">
        <v>14</v>
      </c>
      <c r="J12" s="155"/>
      <c r="K12" s="155">
        <v>4369</v>
      </c>
      <c r="L12" s="158">
        <v>1</v>
      </c>
      <c r="M12" s="145"/>
      <c r="N12" s="145"/>
      <c r="O12" s="146"/>
      <c r="P12" s="145"/>
      <c r="Q12" s="145"/>
    </row>
    <row r="13" spans="2:17" x14ac:dyDescent="0.25">
      <c r="B13" s="151">
        <v>25</v>
      </c>
      <c r="C13" s="151">
        <v>67</v>
      </c>
      <c r="D13" s="151">
        <v>126</v>
      </c>
      <c r="E13" s="151">
        <v>193</v>
      </c>
      <c r="F13" s="152">
        <v>0.35</v>
      </c>
      <c r="G13" s="152">
        <v>0.65</v>
      </c>
      <c r="H13" s="145"/>
      <c r="I13" s="145"/>
      <c r="J13" s="145"/>
      <c r="K13" s="145"/>
      <c r="L13" s="145"/>
      <c r="M13" s="145"/>
      <c r="N13" s="145"/>
      <c r="O13" s="146"/>
      <c r="P13" s="145"/>
      <c r="Q13" s="145"/>
    </row>
    <row r="14" spans="2:17" x14ac:dyDescent="0.25">
      <c r="B14" s="151">
        <v>30</v>
      </c>
      <c r="C14" s="151">
        <v>22</v>
      </c>
      <c r="D14" s="151">
        <v>163</v>
      </c>
      <c r="E14" s="151">
        <v>185</v>
      </c>
      <c r="F14" s="152">
        <v>0.12</v>
      </c>
      <c r="G14" s="152">
        <v>0.88</v>
      </c>
      <c r="H14" s="145"/>
      <c r="I14" s="145"/>
      <c r="J14" s="145"/>
      <c r="K14" s="145"/>
      <c r="L14" s="145"/>
      <c r="M14" s="145"/>
      <c r="N14" s="145"/>
      <c r="O14" s="146"/>
      <c r="P14" s="145"/>
      <c r="Q14" s="145"/>
    </row>
    <row r="15" spans="2:17" x14ac:dyDescent="0.25">
      <c r="B15" s="151">
        <v>40</v>
      </c>
      <c r="C15" s="151">
        <v>189</v>
      </c>
      <c r="D15" s="151">
        <v>103</v>
      </c>
      <c r="E15" s="151">
        <v>292</v>
      </c>
      <c r="F15" s="152">
        <v>0.65</v>
      </c>
      <c r="G15" s="152">
        <v>0.35</v>
      </c>
      <c r="H15" s="145"/>
      <c r="I15" s="145"/>
      <c r="J15" s="145"/>
      <c r="K15" s="145"/>
      <c r="L15" s="145"/>
      <c r="M15" s="145"/>
      <c r="N15" s="145"/>
      <c r="O15" s="146"/>
      <c r="P15" s="145"/>
      <c r="Q15" s="145"/>
    </row>
    <row r="16" spans="2:17" x14ac:dyDescent="0.25">
      <c r="B16" s="151">
        <v>50</v>
      </c>
      <c r="C16" s="151">
        <v>79</v>
      </c>
      <c r="D16" s="151">
        <v>75</v>
      </c>
      <c r="E16" s="151">
        <v>154</v>
      </c>
      <c r="F16" s="152">
        <v>0.51</v>
      </c>
      <c r="G16" s="152">
        <v>0.49</v>
      </c>
      <c r="H16" s="145"/>
      <c r="I16" s="145"/>
      <c r="J16" s="145"/>
      <c r="K16" s="145"/>
      <c r="L16" s="145"/>
      <c r="M16" s="145"/>
      <c r="N16" s="145"/>
      <c r="O16" s="146"/>
      <c r="P16" s="145"/>
      <c r="Q16" s="145"/>
    </row>
    <row r="17" spans="2:15" x14ac:dyDescent="0.25">
      <c r="B17" s="151">
        <v>60</v>
      </c>
      <c r="C17" s="151">
        <v>9</v>
      </c>
      <c r="D17" s="151">
        <v>60</v>
      </c>
      <c r="E17" s="151">
        <v>69</v>
      </c>
      <c r="F17" s="152">
        <v>0.13</v>
      </c>
      <c r="G17" s="152">
        <v>0.87</v>
      </c>
      <c r="H17" s="145"/>
      <c r="I17" s="145"/>
      <c r="J17" s="145"/>
      <c r="K17" s="145"/>
      <c r="L17" s="145"/>
      <c r="M17" s="145"/>
      <c r="N17" s="145"/>
      <c r="O17" s="146"/>
    </row>
    <row r="18" spans="2:15" x14ac:dyDescent="0.25">
      <c r="B18" s="151">
        <v>75</v>
      </c>
      <c r="C18" s="151">
        <v>13</v>
      </c>
      <c r="D18" s="151">
        <v>131</v>
      </c>
      <c r="E18" s="151">
        <v>144</v>
      </c>
      <c r="F18" s="152">
        <v>0.09</v>
      </c>
      <c r="G18" s="152">
        <v>0.91</v>
      </c>
      <c r="H18" s="145"/>
      <c r="I18" s="145"/>
      <c r="J18" s="145"/>
      <c r="K18" s="145"/>
      <c r="L18" s="145"/>
      <c r="M18" s="145"/>
      <c r="N18" s="145"/>
      <c r="O18" s="146"/>
    </row>
    <row r="19" spans="2:15" x14ac:dyDescent="0.25">
      <c r="B19" s="151">
        <v>100</v>
      </c>
      <c r="C19" s="151">
        <v>17</v>
      </c>
      <c r="D19" s="151">
        <v>71</v>
      </c>
      <c r="E19" s="151">
        <v>88</v>
      </c>
      <c r="F19" s="152">
        <v>0.19</v>
      </c>
      <c r="G19" s="152">
        <v>0.81</v>
      </c>
      <c r="H19" s="145"/>
      <c r="I19" s="145"/>
      <c r="J19" s="145"/>
      <c r="K19" s="145"/>
      <c r="L19" s="145"/>
      <c r="M19" s="145"/>
      <c r="N19" s="145"/>
      <c r="O19" s="146"/>
    </row>
    <row r="20" spans="2:15" x14ac:dyDescent="0.25">
      <c r="B20" s="151">
        <v>125</v>
      </c>
      <c r="C20" s="151">
        <v>6</v>
      </c>
      <c r="D20" s="151">
        <v>12</v>
      </c>
      <c r="E20" s="151">
        <v>18</v>
      </c>
      <c r="F20" s="152">
        <v>0.33</v>
      </c>
      <c r="G20" s="152">
        <v>0.67</v>
      </c>
      <c r="H20" s="145"/>
      <c r="I20" s="145"/>
      <c r="J20" s="145"/>
      <c r="K20" s="145"/>
      <c r="L20" s="145"/>
      <c r="M20" s="145"/>
      <c r="N20" s="145"/>
      <c r="O20" s="146"/>
    </row>
    <row r="21" spans="2:15" x14ac:dyDescent="0.25">
      <c r="B21" s="151">
        <v>150</v>
      </c>
      <c r="C21" s="151">
        <v>6</v>
      </c>
      <c r="D21" s="151">
        <v>18</v>
      </c>
      <c r="E21" s="151">
        <v>24</v>
      </c>
      <c r="F21" s="152">
        <v>0.25</v>
      </c>
      <c r="G21" s="152">
        <v>0.75</v>
      </c>
      <c r="H21" s="145"/>
      <c r="I21" s="145"/>
      <c r="J21" s="145"/>
      <c r="K21" s="145"/>
      <c r="L21" s="145"/>
      <c r="M21" s="145"/>
      <c r="N21" s="145"/>
      <c r="O21" s="146"/>
    </row>
    <row r="22" spans="2:15" x14ac:dyDescent="0.25">
      <c r="B22" s="151">
        <v>200</v>
      </c>
      <c r="C22" s="151">
        <v>3</v>
      </c>
      <c r="D22" s="151">
        <v>19</v>
      </c>
      <c r="E22" s="151">
        <v>22</v>
      </c>
      <c r="F22" s="152">
        <v>0.14000000000000001</v>
      </c>
      <c r="G22" s="152">
        <v>0.86</v>
      </c>
      <c r="H22" s="145"/>
      <c r="I22" s="145"/>
      <c r="J22" s="145"/>
      <c r="K22" s="145"/>
      <c r="L22" s="145"/>
      <c r="M22" s="145"/>
      <c r="N22" s="145"/>
      <c r="O22" s="146"/>
    </row>
    <row r="23" spans="2:15" x14ac:dyDescent="0.25">
      <c r="B23" s="151">
        <v>250</v>
      </c>
      <c r="C23" s="151">
        <v>2</v>
      </c>
      <c r="D23" s="151">
        <v>3</v>
      </c>
      <c r="E23" s="151">
        <v>5</v>
      </c>
      <c r="F23" s="152">
        <v>0.4</v>
      </c>
      <c r="G23" s="152">
        <v>0.6</v>
      </c>
      <c r="H23" s="145"/>
      <c r="I23" s="145"/>
      <c r="J23" s="145"/>
      <c r="K23" s="145"/>
      <c r="L23" s="145"/>
      <c r="M23" s="145"/>
      <c r="N23" s="145"/>
      <c r="O23" s="146"/>
    </row>
    <row r="24" spans="2:15" x14ac:dyDescent="0.25">
      <c r="B24" s="151">
        <v>300</v>
      </c>
      <c r="C24" s="151">
        <v>1</v>
      </c>
      <c r="D24" s="151">
        <v>1</v>
      </c>
      <c r="E24" s="151">
        <v>2</v>
      </c>
      <c r="F24" s="152">
        <v>0.5</v>
      </c>
      <c r="G24" s="152">
        <v>0.5</v>
      </c>
      <c r="H24" s="145"/>
      <c r="I24" s="145"/>
      <c r="J24" s="145"/>
      <c r="K24" s="145"/>
      <c r="L24" s="145"/>
      <c r="M24" s="145"/>
      <c r="N24" s="145"/>
      <c r="O24" s="146"/>
    </row>
    <row r="25" spans="2:15" x14ac:dyDescent="0.25">
      <c r="B25" s="151">
        <v>400</v>
      </c>
      <c r="C25" s="154"/>
      <c r="D25" s="151">
        <v>1</v>
      </c>
      <c r="E25" s="151">
        <v>1</v>
      </c>
      <c r="F25" s="152">
        <v>0</v>
      </c>
      <c r="G25" s="152">
        <v>1</v>
      </c>
      <c r="H25" s="145"/>
      <c r="I25" s="145"/>
      <c r="J25" s="145"/>
      <c r="K25" s="145"/>
      <c r="L25" s="145"/>
      <c r="M25" s="145"/>
      <c r="N25" s="145"/>
      <c r="O25" s="146"/>
    </row>
    <row r="26" spans="2:15" x14ac:dyDescent="0.25">
      <c r="B26" s="155" t="s">
        <v>14</v>
      </c>
      <c r="C26" s="155">
        <v>979</v>
      </c>
      <c r="D26" s="155">
        <v>3390</v>
      </c>
      <c r="E26" s="155">
        <v>4369</v>
      </c>
      <c r="F26" s="156">
        <v>0.22</v>
      </c>
      <c r="G26" s="156">
        <v>0.78</v>
      </c>
      <c r="H26" s="145"/>
      <c r="I26" s="145"/>
      <c r="J26" s="145"/>
      <c r="K26" s="145"/>
      <c r="L26" s="145"/>
      <c r="M26" s="145"/>
      <c r="N26" s="145"/>
      <c r="O26" s="145"/>
    </row>
    <row r="27" spans="2:15" x14ac:dyDescent="0.25">
      <c r="B27" s="145"/>
      <c r="C27" s="145"/>
      <c r="D27" s="145"/>
      <c r="E27" s="145"/>
      <c r="F27" s="145"/>
      <c r="G27" s="159"/>
      <c r="H27" s="145"/>
      <c r="I27" s="145"/>
      <c r="J27" s="145"/>
      <c r="K27" s="145"/>
      <c r="L27" s="145"/>
      <c r="M27" s="145"/>
      <c r="N27" s="145"/>
      <c r="O27" s="145"/>
    </row>
    <row r="29" spans="2:15" x14ac:dyDescent="0.25">
      <c r="B29" s="145" t="s">
        <v>130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</row>
  </sheetData>
  <mergeCells count="4">
    <mergeCell ref="I8:I11"/>
    <mergeCell ref="I4:I7"/>
    <mergeCell ref="I2:L2"/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Motor Savings</vt:lpstr>
      <vt:lpstr>Cost Data</vt:lpstr>
      <vt:lpstr>Measure Case NEMA Prem. Eff</vt:lpstr>
      <vt:lpstr>Base Case NEMA Energy Eff.</vt:lpstr>
      <vt:lpstr>Operating Hours</vt:lpstr>
      <vt:lpstr>ODP and TEFC Program Breakdown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 Chang</dc:creator>
  <cp:lastModifiedBy>Huang, Jia Chang</cp:lastModifiedBy>
  <dcterms:created xsi:type="dcterms:W3CDTF">2016-08-31T21:28:08Z</dcterms:created>
  <dcterms:modified xsi:type="dcterms:W3CDTF">2016-09-19T18:25:44Z</dcterms:modified>
</cp:coreProperties>
</file>